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4\02.04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Y63" i="2"/>
  <c r="W63" i="2"/>
  <c r="U63" i="2"/>
  <c r="Y62" i="2"/>
  <c r="W62" i="2"/>
  <c r="U62" i="2"/>
  <c r="Z61" i="2"/>
  <c r="Y61" i="2"/>
  <c r="W61" i="2"/>
  <c r="U61" i="2"/>
  <c r="Z60" i="2"/>
  <c r="Y60" i="2"/>
  <c r="X60" i="2"/>
  <c r="W60" i="2"/>
  <c r="V60" i="2"/>
  <c r="U60" i="2"/>
  <c r="Z59" i="2"/>
  <c r="Y59" i="2"/>
  <c r="X59" i="2"/>
  <c r="W59" i="2"/>
  <c r="V59" i="2"/>
  <c r="U59" i="2"/>
  <c r="Z58" i="2"/>
  <c r="Y58" i="2"/>
  <c r="X58" i="2"/>
  <c r="W58" i="2"/>
  <c r="V58" i="2"/>
  <c r="U58" i="2"/>
  <c r="Z57" i="2"/>
  <c r="Y57" i="2"/>
  <c r="X57" i="2"/>
  <c r="W57" i="2"/>
  <c r="V57" i="2"/>
  <c r="U57" i="2"/>
  <c r="X55" i="2"/>
  <c r="W55" i="2"/>
  <c r="V55" i="2"/>
  <c r="U55" i="2"/>
  <c r="W54" i="2"/>
  <c r="U54" i="2"/>
  <c r="X52" i="2"/>
  <c r="W52" i="2"/>
  <c r="V52" i="2"/>
  <c r="U52" i="2"/>
  <c r="Z51" i="2"/>
  <c r="Y51" i="2"/>
  <c r="X51" i="2"/>
  <c r="W51" i="2"/>
  <c r="V51" i="2"/>
  <c r="U51" i="2"/>
  <c r="Z50" i="2"/>
  <c r="Y50" i="2"/>
  <c r="X50" i="2"/>
  <c r="W50" i="2"/>
  <c r="V50" i="2"/>
  <c r="U50" i="2"/>
  <c r="Z49" i="2"/>
  <c r="Y49" i="2"/>
  <c r="X49" i="2"/>
  <c r="W49" i="2"/>
  <c r="V49" i="2"/>
  <c r="U49" i="2"/>
  <c r="Z48" i="2"/>
  <c r="Y48" i="2"/>
  <c r="X48" i="2"/>
  <c r="W48" i="2"/>
  <c r="V48" i="2"/>
  <c r="U48" i="2"/>
  <c r="Z47" i="2"/>
  <c r="Y47" i="2"/>
  <c r="X47" i="2"/>
  <c r="W47" i="2"/>
  <c r="V47" i="2"/>
  <c r="U47" i="2"/>
  <c r="Z46" i="2"/>
  <c r="Y46" i="2"/>
  <c r="X46" i="2"/>
  <c r="W46" i="2"/>
  <c r="V46" i="2"/>
  <c r="U46" i="2"/>
  <c r="Z45" i="2"/>
  <c r="Y45" i="2"/>
  <c r="X45" i="2"/>
  <c r="W45" i="2"/>
  <c r="V45" i="2"/>
  <c r="U45" i="2"/>
  <c r="Z44" i="2"/>
  <c r="Y44" i="2"/>
  <c r="X44" i="2"/>
  <c r="W44" i="2"/>
  <c r="V44" i="2"/>
  <c r="U44" i="2"/>
  <c r="Z43" i="2"/>
  <c r="Y43" i="2"/>
  <c r="X43" i="2"/>
  <c r="W43" i="2"/>
  <c r="V43" i="2"/>
  <c r="U43" i="2"/>
  <c r="X42" i="2"/>
  <c r="W42" i="2"/>
  <c r="V42" i="2"/>
  <c r="U42" i="2"/>
  <c r="X41" i="2"/>
  <c r="W41" i="2"/>
  <c r="V41" i="2"/>
  <c r="U41" i="2"/>
  <c r="W40" i="2"/>
  <c r="U40" i="2"/>
  <c r="W38" i="2"/>
  <c r="U38" i="2"/>
  <c r="X37" i="2"/>
  <c r="W37" i="2"/>
  <c r="V37" i="2"/>
  <c r="U37" i="2"/>
  <c r="X35" i="2"/>
  <c r="W35" i="2"/>
  <c r="V35" i="2"/>
  <c r="U35" i="2"/>
  <c r="W34" i="2"/>
  <c r="U34" i="2"/>
  <c r="W32" i="2"/>
  <c r="V32" i="2"/>
  <c r="U32" i="2"/>
  <c r="Z30" i="2"/>
  <c r="Y30" i="2"/>
  <c r="X30" i="2"/>
  <c r="W30" i="2"/>
  <c r="V30" i="2"/>
  <c r="U30" i="2"/>
  <c r="Z29" i="2"/>
  <c r="Y29" i="2"/>
  <c r="X29" i="2"/>
  <c r="W29" i="2"/>
  <c r="V29" i="2"/>
  <c r="U29" i="2"/>
  <c r="Z28" i="2"/>
  <c r="Y28" i="2"/>
  <c r="X28" i="2"/>
  <c r="W28" i="2"/>
  <c r="V28" i="2"/>
  <c r="U28" i="2"/>
  <c r="X27" i="2"/>
  <c r="W27" i="2"/>
  <c r="V27" i="2"/>
  <c r="U27" i="2"/>
  <c r="Z26" i="2"/>
  <c r="Y26" i="2"/>
  <c r="X26" i="2"/>
  <c r="W26" i="2"/>
  <c r="V26" i="2"/>
  <c r="U26" i="2"/>
  <c r="Z25" i="2"/>
  <c r="Y25" i="2"/>
  <c r="X25" i="2"/>
  <c r="W25" i="2"/>
  <c r="V25" i="2"/>
  <c r="U25" i="2"/>
  <c r="X24" i="2"/>
  <c r="W24" i="2"/>
  <c r="V24" i="2"/>
  <c r="U24" i="2"/>
  <c r="X22" i="2"/>
  <c r="W22" i="2"/>
  <c r="V22" i="2"/>
  <c r="U22" i="2"/>
  <c r="X21" i="2"/>
  <c r="W21" i="2"/>
  <c r="V21" i="2"/>
  <c r="U21" i="2"/>
  <c r="Z20" i="2"/>
  <c r="Y20" i="2"/>
  <c r="X20" i="2"/>
  <c r="W20" i="2"/>
  <c r="V20" i="2"/>
  <c r="U20" i="2"/>
  <c r="Z19" i="2"/>
  <c r="Y19" i="2"/>
  <c r="X19" i="2"/>
  <c r="W19" i="2"/>
  <c r="V19" i="2"/>
  <c r="U19" i="2"/>
  <c r="Z18" i="2"/>
  <c r="Y18" i="2"/>
  <c r="X18" i="2"/>
  <c r="W18" i="2"/>
  <c r="V18" i="2"/>
  <c r="U18" i="2"/>
  <c r="Z17" i="2"/>
  <c r="Y17" i="2"/>
  <c r="X17" i="2"/>
  <c r="W17" i="2"/>
  <c r="V17" i="2"/>
  <c r="U17" i="2"/>
  <c r="X16" i="2"/>
  <c r="W16" i="2"/>
  <c r="V16" i="2"/>
  <c r="U16" i="2"/>
  <c r="X14" i="2"/>
  <c r="W14" i="2"/>
  <c r="V14" i="2"/>
  <c r="U14" i="2"/>
  <c r="X13" i="2"/>
  <c r="W13" i="2"/>
  <c r="V13" i="2"/>
  <c r="U13" i="2"/>
  <c r="X12" i="2"/>
  <c r="W12" i="2"/>
  <c r="V12" i="2"/>
  <c r="U12" i="2"/>
  <c r="X11" i="2"/>
  <c r="W11" i="2"/>
  <c r="V11" i="2"/>
  <c r="U11" i="2"/>
  <c r="X10" i="2"/>
  <c r="W10" i="2"/>
  <c r="V10" i="2"/>
  <c r="U10" i="2"/>
  <c r="X9" i="2"/>
  <c r="W9" i="2"/>
  <c r="V9" i="2"/>
  <c r="U9" i="2"/>
  <c r="X8" i="2"/>
  <c r="W8" i="2"/>
  <c r="V8" i="2"/>
  <c r="U8" i="2"/>
  <c r="R55" i="2" l="1"/>
  <c r="R42" i="2"/>
  <c r="R37" i="2"/>
  <c r="R35" i="2"/>
  <c r="R24" i="2"/>
  <c r="R22" i="2"/>
  <c r="R21" i="2"/>
  <c r="R16" i="2"/>
  <c r="R14" i="2"/>
  <c r="R13" i="2"/>
  <c r="R12" i="2"/>
  <c r="R11" i="2"/>
  <c r="R10" i="2"/>
  <c r="R9" i="2"/>
  <c r="R8" i="2"/>
  <c r="S55" i="2"/>
  <c r="S24" i="2"/>
  <c r="S37" i="2"/>
  <c r="S22" i="2"/>
  <c r="S21" i="2"/>
  <c r="S16" i="2"/>
  <c r="S14" i="2"/>
  <c r="S13" i="2"/>
  <c r="S12" i="2"/>
  <c r="S11" i="2"/>
  <c r="S10" i="2"/>
  <c r="S8" i="2"/>
  <c r="S9" i="2"/>
  <c r="S35" i="2"/>
  <c r="S42" i="2"/>
  <c r="S56" i="2" l="1"/>
  <c r="S53" i="2"/>
  <c r="S39" i="2"/>
  <c r="S36" i="2"/>
  <c r="S33" i="2"/>
  <c r="S31" i="2"/>
  <c r="S15" i="2"/>
  <c r="S23" i="2" l="1"/>
  <c r="Y56" i="2"/>
  <c r="U56" i="2"/>
  <c r="V56" i="2"/>
  <c r="Z56" i="2"/>
  <c r="S7" i="2"/>
  <c r="S64" i="2" s="1"/>
  <c r="N13" i="2"/>
  <c r="N12" i="2"/>
  <c r="N11" i="2"/>
  <c r="N10" i="2"/>
  <c r="Z12" i="2" l="1"/>
  <c r="Y12" i="2"/>
  <c r="Z13" i="2"/>
  <c r="Y13" i="2"/>
  <c r="Z11" i="2"/>
  <c r="Y11" i="2"/>
  <c r="Z10" i="2"/>
  <c r="Y10" i="2"/>
  <c r="Q56" i="2"/>
  <c r="Q53" i="2"/>
  <c r="Q39" i="2"/>
  <c r="Q36" i="2"/>
  <c r="Q33" i="2"/>
  <c r="Q31" i="2"/>
  <c r="Q15" i="2"/>
  <c r="Q23" i="2" l="1"/>
  <c r="Q7" i="2" s="1"/>
  <c r="Q64" i="2"/>
  <c r="N52" i="2" l="1"/>
  <c r="Y52" i="2" l="1"/>
  <c r="Z52" i="2"/>
  <c r="L13" i="2"/>
  <c r="L11" i="2"/>
  <c r="L10" i="2"/>
  <c r="N63" i="2" l="1"/>
  <c r="P36" i="2" l="1"/>
  <c r="X36" i="2" l="1"/>
  <c r="W36" i="2"/>
  <c r="N55" i="2"/>
  <c r="Y55" i="2" l="1"/>
  <c r="Z55" i="2"/>
  <c r="P55" i="2"/>
  <c r="O55" i="2"/>
  <c r="L61" i="2" l="1"/>
  <c r="P53" i="2" l="1"/>
  <c r="X53" i="2" l="1"/>
  <c r="W53" i="2"/>
  <c r="N8" i="2"/>
  <c r="Z8" i="2" l="1"/>
  <c r="Y8" i="2"/>
  <c r="T55" i="2"/>
  <c r="T54" i="2"/>
  <c r="R53" i="2"/>
  <c r="M53" i="2" l="1"/>
  <c r="T10" i="2" l="1"/>
  <c r="N54" i="2"/>
  <c r="L54" i="2"/>
  <c r="L53" i="2" s="1"/>
  <c r="K53" i="2"/>
  <c r="J53" i="2"/>
  <c r="O53" i="2"/>
  <c r="N60" i="2"/>
  <c r="N59" i="2"/>
  <c r="N58" i="2"/>
  <c r="N57" i="2"/>
  <c r="N42" i="2"/>
  <c r="N41" i="2"/>
  <c r="N40" i="2"/>
  <c r="Y40" i="2" s="1"/>
  <c r="N38" i="2"/>
  <c r="N37" i="2"/>
  <c r="N35" i="2"/>
  <c r="N34" i="2"/>
  <c r="N27" i="2"/>
  <c r="N24" i="2"/>
  <c r="N22" i="2"/>
  <c r="N21" i="2"/>
  <c r="N16" i="2"/>
  <c r="N14" i="2"/>
  <c r="N9" i="2"/>
  <c r="L8" i="2"/>
  <c r="Z35" i="2" l="1"/>
  <c r="Y35" i="2"/>
  <c r="Y21" i="2"/>
  <c r="Z21" i="2"/>
  <c r="Z34" i="2"/>
  <c r="Y34" i="2"/>
  <c r="Y9" i="2"/>
  <c r="Z9" i="2"/>
  <c r="Y41" i="2"/>
  <c r="Z41" i="2"/>
  <c r="Y14" i="2"/>
  <c r="Z14" i="2"/>
  <c r="Z37" i="2"/>
  <c r="Y37" i="2"/>
  <c r="Z42" i="2"/>
  <c r="Y42" i="2"/>
  <c r="Z54" i="2"/>
  <c r="Y54" i="2"/>
  <c r="Y22" i="2"/>
  <c r="Z22" i="2"/>
  <c r="Y24" i="2"/>
  <c r="Z24" i="2"/>
  <c r="Z16" i="2"/>
  <c r="Y16" i="2"/>
  <c r="Y27" i="2"/>
  <c r="Z27" i="2"/>
  <c r="Z38" i="2"/>
  <c r="Y38" i="2"/>
  <c r="U53" i="2"/>
  <c r="V53" i="2"/>
  <c r="AA54" i="2"/>
  <c r="N53" i="2"/>
  <c r="N56" i="2"/>
  <c r="N39" i="2"/>
  <c r="N36" i="2"/>
  <c r="N33" i="2"/>
  <c r="N32" i="2"/>
  <c r="N15" i="2"/>
  <c r="Z33" i="2" l="1"/>
  <c r="Y33" i="2"/>
  <c r="Y36" i="2"/>
  <c r="Z36" i="2"/>
  <c r="Y15" i="2"/>
  <c r="Z15" i="2"/>
  <c r="Y39" i="2"/>
  <c r="Z39" i="2"/>
  <c r="Z53" i="2"/>
  <c r="Y53" i="2"/>
  <c r="N31" i="2"/>
  <c r="Y31" i="2" s="1"/>
  <c r="Y32" i="2"/>
  <c r="N23" i="2"/>
  <c r="Y23" i="2" l="1"/>
  <c r="Z23" i="2"/>
  <c r="N7" i="2"/>
  <c r="N64" i="2" s="1"/>
  <c r="Z64" i="2" l="1"/>
  <c r="Y64" i="2"/>
  <c r="M56" i="2"/>
  <c r="M39" i="2"/>
  <c r="M36" i="2"/>
  <c r="M33" i="2"/>
  <c r="M31" i="2"/>
  <c r="M15" i="2"/>
  <c r="M23" i="2" l="1"/>
  <c r="M7" i="2" s="1"/>
  <c r="M64" i="2" l="1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W31" i="2" s="1"/>
  <c r="P15" i="2"/>
  <c r="W56" i="2" l="1"/>
  <c r="X56" i="2"/>
  <c r="W15" i="2"/>
  <c r="X15" i="2"/>
  <c r="P23" i="2"/>
  <c r="P7" i="2" l="1"/>
  <c r="X7" i="2" s="1"/>
  <c r="X23" i="2"/>
  <c r="W23" i="2"/>
  <c r="T52" i="2"/>
  <c r="P64" i="2" l="1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7" i="2" l="1"/>
  <c r="J23" i="2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O15" i="2"/>
  <c r="K15" i="2"/>
  <c r="O31" i="2"/>
  <c r="K31" i="2"/>
  <c r="O36" i="2"/>
  <c r="K36" i="2"/>
  <c r="U36" i="2" l="1"/>
  <c r="V36" i="2"/>
  <c r="O23" i="2"/>
  <c r="V31" i="2"/>
  <c r="U31" i="2"/>
  <c r="U15" i="2"/>
  <c r="V15" i="2"/>
  <c r="K23" i="2"/>
  <c r="K7" i="2" s="1"/>
  <c r="V23" i="2" l="1"/>
  <c r="U23" i="2"/>
  <c r="O7" i="2"/>
  <c r="K64" i="2"/>
  <c r="Y7" i="2"/>
  <c r="V7" i="2" l="1"/>
  <c r="U7" i="2"/>
  <c r="O64" i="2"/>
  <c r="V64" i="2" l="1"/>
  <c r="U64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<sst xmlns="http://schemas.openxmlformats.org/spreadsheetml/2006/main" count="140" uniqueCount="90">
  <si>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</si>
  <si>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</si>
  <si>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</si>
  <si>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</si>
  <si>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</si>
  <si>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</si>
  <si>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</si>
  <si>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</si>
  <si>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</si>
  <si>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</si>
  <si>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</si>
  <si>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</si>
  <si>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</si>
  <si>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</si>
  <si>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</si>
  <si>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</si>
  <si>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</si>
  <si>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</si>
  <si>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</si>
  <si>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</si>
  <si>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</si>
  <si>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</si>
  <si>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</si>
  <si>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</si>
  <si>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</si>
  <si>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</si>
  <si>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</si>
  <si>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</si>
  <si>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</si>
  <si>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</si>
  <si>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</si>
  <si>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</si>
  <si>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</si>
  <si>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</si>
  <si>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</si>
  <si>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</si>
  <si>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</si>
  <si>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</si>
  <si>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</si>
  <si>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</si>
  <si>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</si>
  <si>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</si>
  <si>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</si>
  <si>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</si>
  <si>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</si>
  <si>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</si>
  <si>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</si>
  <si>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</si>
  <si>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</si>
  <si>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</si>
  <si>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</si>
  <si>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</si>
  <si>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</si>
  <si>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</si>
  <si>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</si>
  <si>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</si>
  <si>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</si>
  <si>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</si>
  <si>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</si>
  <si>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</si>
  <si>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</si>
  <si>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</si>
  <si>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</si>
  <si>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</si>
  <si>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</si>
  <si>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</si>
  <si>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</si>
  <si>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</si>
  <si>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</si>
  <si>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</si>
  <si>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</si>
  <si>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</si>
  <si>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</si>
  <si>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</si>
  <si>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</si>
  <si>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</si>
  <si>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</si>
  <si>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</si>
  <si>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</si>
  <si>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</si>
  <si>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4 месяцев 2021 года</t>
  </si>
  <si>
    <t>с 19.03.2021 по 25.03.2021 (неделя) П</t>
  </si>
  <si>
    <t>с 26.03.2021 по 01.04.2021 (неделя) Т</t>
  </si>
  <si>
    <t>Исполнение с 01.01.2021 по 01.04.2021</t>
  </si>
  <si>
    <t>Исполнено по 01.04.2020 год</t>
  </si>
  <si>
    <t>Исполнено по 01.04.2020 год (в сопоставимых условиях 2021 года)</t>
  </si>
  <si>
    <t>откл.+- от плана за 4 месяцев 2021 года</t>
  </si>
  <si>
    <t>Информация об исполнении бюджета Благодарненского городского округа Ставропольского края по доходам по состоянию на 01 апреля 2021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</si>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</sst>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Z3" sqref="Z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0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9" t="s">
        <v>43</v>
      </c>
      <c r="J4" s="58" t="s">
        <v>69</v>
      </c>
      <c r="K4" s="58" t="s">
        <v>70</v>
      </c>
      <c r="L4" s="60" t="s">
        <v>71</v>
      </c>
      <c r="M4" s="58" t="s">
        <v>84</v>
      </c>
      <c r="N4" s="60" t="s">
        <v>85</v>
      </c>
      <c r="O4" s="64" t="s">
        <v>76</v>
      </c>
      <c r="P4" s="65"/>
      <c r="Q4" s="60" t="s">
        <v>74</v>
      </c>
      <c r="R4" s="60"/>
      <c r="S4" s="60" t="s">
        <v>83</v>
      </c>
      <c r="T4" s="62" t="s">
        <v>67</v>
      </c>
      <c r="U4" s="59" t="s">
        <v>72</v>
      </c>
      <c r="V4" s="59"/>
      <c r="W4" s="60" t="s">
        <v>86</v>
      </c>
      <c r="X4" s="60"/>
      <c r="Y4" s="60" t="s">
        <v>73</v>
      </c>
      <c r="Z4" s="60"/>
      <c r="AA4" s="60" t="s">
        <v>66</v>
      </c>
      <c r="AB4" s="62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9"/>
      <c r="J5" s="58"/>
      <c r="K5" s="58"/>
      <c r="L5" s="60"/>
      <c r="M5" s="58"/>
      <c r="N5" s="60"/>
      <c r="O5" s="49" t="s">
        <v>75</v>
      </c>
      <c r="P5" s="55" t="s">
        <v>80</v>
      </c>
      <c r="Q5" s="51" t="s">
        <v>81</v>
      </c>
      <c r="R5" s="51" t="s">
        <v>82</v>
      </c>
      <c r="S5" s="60"/>
      <c r="T5" s="63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0"/>
      <c r="AB5" s="63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8">
        <v>12</v>
      </c>
      <c r="X6" s="48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7" t="s">
        <v>8</v>
      </c>
      <c r="C7" s="57"/>
      <c r="D7" s="57"/>
      <c r="E7" s="57"/>
      <c r="F7" s="57"/>
      <c r="G7" s="57"/>
      <c r="H7" s="57"/>
      <c r="I7" s="57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72756061.140000001</v>
      </c>
      <c r="N7" s="17">
        <f t="shared" si="0"/>
        <v>72099153.614821166</v>
      </c>
      <c r="O7" s="17">
        <f t="shared" si="0"/>
        <v>352312492</v>
      </c>
      <c r="P7" s="17">
        <f t="shared" si="0"/>
        <v>99192955.319999993</v>
      </c>
      <c r="Q7" s="17">
        <f t="shared" ref="Q7" si="1">Q8+Q9+Q11+Q12+Q13+Q14+Q15+Q22+Q23+Q35+Q36+Q39+Q42+Q53+Q10</f>
        <v>4146188.11</v>
      </c>
      <c r="R7" s="17">
        <f t="shared" si="0"/>
        <v>10113916.259999998</v>
      </c>
      <c r="S7" s="17">
        <f t="shared" si="0"/>
        <v>74507385.810000002</v>
      </c>
      <c r="T7" s="17">
        <f>R7-Q7</f>
        <v>5967728.1499999985</v>
      </c>
      <c r="U7" s="17">
        <f>S7-O7</f>
        <v>-277805106.19</v>
      </c>
      <c r="V7" s="17">
        <f>S7/O7*100</f>
        <v>21.148096505757735</v>
      </c>
      <c r="W7" s="17">
        <f>S7-P7</f>
        <v>-24685569.50999999</v>
      </c>
      <c r="X7" s="17">
        <f t="shared" ref="X7" si="2">S7/P7*100</f>
        <v>75.113586009849726</v>
      </c>
      <c r="Y7" s="17">
        <f>S7-N7</f>
        <v>2408232.1951788366</v>
      </c>
      <c r="Z7" s="17">
        <f>S7/N7*100</f>
        <v>103.34016708163378</v>
      </c>
      <c r="AA7" s="17">
        <f>N7/L7*100</f>
        <v>20.850403940847166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57" t="s">
        <v>35</v>
      </c>
      <c r="C8" s="57"/>
      <c r="D8" s="57"/>
      <c r="E8" s="57"/>
      <c r="F8" s="57"/>
      <c r="G8" s="57"/>
      <c r="H8" s="57"/>
      <c r="I8" s="57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33724232.68</v>
      </c>
      <c r="N8" s="27">
        <f>M8/34.24*100*30.57/100</f>
        <v>30109514.983282704</v>
      </c>
      <c r="O8" s="17">
        <v>155881000</v>
      </c>
      <c r="P8" s="17">
        <v>41348711</v>
      </c>
      <c r="Q8" s="17">
        <v>379613.96</v>
      </c>
      <c r="R8" s="17">
        <f>759502.29+407735.37+104-1955.87+35.77+1.42+611.4+0.28</f>
        <v>1166034.6599999999</v>
      </c>
      <c r="S8" s="17">
        <f>30622509.11+407735.37+104-1955.87+35.77+1.42+611.4+0.28</f>
        <v>31029041.48</v>
      </c>
      <c r="T8" s="17">
        <f t="shared" ref="T8:T64" si="3">R8-Q8</f>
        <v>786420.7</v>
      </c>
      <c r="U8" s="17">
        <f t="shared" ref="U8:U64" si="4">S8-O8</f>
        <v>-124851958.52</v>
      </c>
      <c r="V8" s="17">
        <f t="shared" ref="V8:V64" si="5">S8/O8*100</f>
        <v>19.90559560177315</v>
      </c>
      <c r="W8" s="17">
        <f t="shared" ref="W8:W64" si="6">S8-P8</f>
        <v>-10319669.52</v>
      </c>
      <c r="X8" s="17">
        <f t="shared" ref="X8:X64" si="7">S8/P8*100</f>
        <v>75.042342867713586</v>
      </c>
      <c r="Y8" s="17">
        <f t="shared" ref="Y8:Y64" si="8">S8-N8</f>
        <v>919526.49671729654</v>
      </c>
      <c r="Z8" s="17">
        <f t="shared" ref="Z8:Z64" si="9">S8/N8*100</f>
        <v>103.05393991642786</v>
      </c>
      <c r="AA8" s="17">
        <f>N8/L8*100</f>
        <v>20.499512793056638</v>
      </c>
      <c r="AB8" s="17">
        <v>255571677.94</v>
      </c>
    </row>
    <row r="9" spans="1:29" s="15" customFormat="1" ht="54" hidden="1" customHeight="1" x14ac:dyDescent="0.3">
      <c r="A9" s="14"/>
      <c r="B9" s="57" t="s">
        <v>34</v>
      </c>
      <c r="C9" s="57"/>
      <c r="D9" s="57"/>
      <c r="E9" s="57"/>
      <c r="F9" s="57"/>
      <c r="G9" s="57"/>
      <c r="H9" s="57"/>
      <c r="I9" s="57"/>
      <c r="J9" s="17">
        <v>18646000</v>
      </c>
      <c r="K9" s="17">
        <v>20275547.789999999</v>
      </c>
      <c r="L9" s="17">
        <f t="shared" ref="L9:L14" si="10">K9</f>
        <v>20275547.789999999</v>
      </c>
      <c r="M9" s="17">
        <v>4941240.79</v>
      </c>
      <c r="N9" s="17">
        <f>M9</f>
        <v>4941240.79</v>
      </c>
      <c r="O9" s="17">
        <v>25639600</v>
      </c>
      <c r="P9" s="17">
        <v>7912965</v>
      </c>
      <c r="Q9" s="17">
        <v>0</v>
      </c>
      <c r="R9" s="17">
        <f>1822611.66+15341.11+3722.44-19063.55</f>
        <v>1822611.66</v>
      </c>
      <c r="S9" s="17">
        <f>5638998.71+15341.11+3722.44-19063.55</f>
        <v>5638998.7100000009</v>
      </c>
      <c r="T9" s="17">
        <f t="shared" si="3"/>
        <v>1822611.66</v>
      </c>
      <c r="U9" s="17">
        <f t="shared" si="4"/>
        <v>-20000601.289999999</v>
      </c>
      <c r="V9" s="17">
        <f t="shared" si="5"/>
        <v>21.99331779746954</v>
      </c>
      <c r="W9" s="17">
        <f t="shared" si="6"/>
        <v>-2273966.2899999991</v>
      </c>
      <c r="X9" s="17">
        <f t="shared" si="7"/>
        <v>71.262778364367847</v>
      </c>
      <c r="Y9" s="17">
        <f t="shared" si="8"/>
        <v>697757.92000000086</v>
      </c>
      <c r="Z9" s="17">
        <f t="shared" si="9"/>
        <v>114.1211074233037</v>
      </c>
      <c r="AA9" s="17">
        <f>N9/L9*100</f>
        <v>24.370442866342898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77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P10/78*57</f>
        <v>2094610.423076923</v>
      </c>
      <c r="O10" s="17">
        <v>6893000</v>
      </c>
      <c r="P10" s="17">
        <v>2866309</v>
      </c>
      <c r="Q10" s="17">
        <v>170787.67</v>
      </c>
      <c r="R10" s="17">
        <f>217414.4-10618.23+6.44+5334.3+19769.83+2509.17-99.63+810</f>
        <v>235126.28</v>
      </c>
      <c r="S10" s="17">
        <f>1275560.75-10618.23+6.44+5334.3+19769.83+2509.17-99.63+810</f>
        <v>1293272.6300000001</v>
      </c>
      <c r="T10" s="17">
        <f t="shared" si="3"/>
        <v>64338.609999999986</v>
      </c>
      <c r="U10" s="17">
        <f t="shared" si="4"/>
        <v>-5599727.3700000001</v>
      </c>
      <c r="V10" s="17">
        <f t="shared" si="5"/>
        <v>18.762115624546645</v>
      </c>
      <c r="W10" s="17">
        <f t="shared" si="6"/>
        <v>-1573036.3699999999</v>
      </c>
      <c r="X10" s="17">
        <f t="shared" si="7"/>
        <v>45.119790992527328</v>
      </c>
      <c r="Y10" s="17">
        <f t="shared" si="8"/>
        <v>-801337.79307692288</v>
      </c>
      <c r="Z10" s="17">
        <f t="shared" si="9"/>
        <v>61.742871884511089</v>
      </c>
      <c r="AA10" s="17"/>
      <c r="AB10" s="30"/>
    </row>
    <row r="11" spans="1:29" s="15" customFormat="1" ht="57.75" hidden="1" customHeight="1" x14ac:dyDescent="0.3">
      <c r="A11" s="14"/>
      <c r="B11" s="57" t="s">
        <v>33</v>
      </c>
      <c r="C11" s="57"/>
      <c r="D11" s="57"/>
      <c r="E11" s="57"/>
      <c r="F11" s="57"/>
      <c r="G11" s="57"/>
      <c r="H11" s="57"/>
      <c r="I11" s="57"/>
      <c r="J11" s="17">
        <v>11347097.18</v>
      </c>
      <c r="K11" s="17">
        <v>11880184.26</v>
      </c>
      <c r="L11" s="27">
        <f>O11</f>
        <v>3200000</v>
      </c>
      <c r="M11" s="17">
        <v>2975590.43</v>
      </c>
      <c r="N11" s="27">
        <f>P11/78*57</f>
        <v>2158692.307692308</v>
      </c>
      <c r="O11" s="17">
        <v>3200000</v>
      </c>
      <c r="P11" s="17">
        <v>2954000</v>
      </c>
      <c r="Q11" s="17">
        <v>25063.68</v>
      </c>
      <c r="R11" s="17">
        <f>84073.93+6246.4+1.18+1.42</f>
        <v>90322.929999999978</v>
      </c>
      <c r="S11" s="17">
        <f>2570620.1+6246.4+1.18+1.42</f>
        <v>2576869.1</v>
      </c>
      <c r="T11" s="17">
        <f t="shared" si="3"/>
        <v>65259.249999999978</v>
      </c>
      <c r="U11" s="17">
        <f t="shared" si="4"/>
        <v>-623130.89999999991</v>
      </c>
      <c r="V11" s="17">
        <f t="shared" si="5"/>
        <v>80.527159374999997</v>
      </c>
      <c r="W11" s="17">
        <f t="shared" si="6"/>
        <v>-377130.89999999991</v>
      </c>
      <c r="X11" s="17">
        <f t="shared" si="7"/>
        <v>87.233212593094109</v>
      </c>
      <c r="Y11" s="17">
        <f t="shared" si="8"/>
        <v>418176.79230769211</v>
      </c>
      <c r="Z11" s="17">
        <f t="shared" si="9"/>
        <v>119.37176460107615</v>
      </c>
      <c r="AA11" s="17">
        <f t="shared" ref="AA11:AA54" si="11">N11/L11*100</f>
        <v>67.459134615384613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7" t="s">
        <v>32</v>
      </c>
      <c r="C12" s="57"/>
      <c r="D12" s="57"/>
      <c r="E12" s="57"/>
      <c r="F12" s="57"/>
      <c r="G12" s="57"/>
      <c r="H12" s="57"/>
      <c r="I12" s="57"/>
      <c r="J12" s="17">
        <v>10983507.07</v>
      </c>
      <c r="K12" s="17">
        <v>11042346.74</v>
      </c>
      <c r="L12" s="17">
        <f t="shared" si="10"/>
        <v>11042346.74</v>
      </c>
      <c r="M12" s="17">
        <v>3044265.63</v>
      </c>
      <c r="N12" s="17">
        <f>M12</f>
        <v>3044265.63</v>
      </c>
      <c r="O12" s="17">
        <v>7502000</v>
      </c>
      <c r="P12" s="17">
        <v>4261185</v>
      </c>
      <c r="Q12" s="17">
        <v>723729</v>
      </c>
      <c r="R12" s="17">
        <f>663033.85+3101705-96</f>
        <v>3764642.85</v>
      </c>
      <c r="S12" s="17">
        <f>3699851.44+3101705-96</f>
        <v>6801460.4399999995</v>
      </c>
      <c r="T12" s="17">
        <f t="shared" si="3"/>
        <v>3040913.85</v>
      </c>
      <c r="U12" s="17">
        <f t="shared" si="4"/>
        <v>-700539.56000000052</v>
      </c>
      <c r="V12" s="17">
        <f t="shared" si="5"/>
        <v>90.661962676619552</v>
      </c>
      <c r="W12" s="17">
        <f t="shared" si="6"/>
        <v>2540275.4399999995</v>
      </c>
      <c r="X12" s="17">
        <f t="shared" si="7"/>
        <v>159.61429602328928</v>
      </c>
      <c r="Y12" s="17">
        <f t="shared" si="8"/>
        <v>3757194.8099999996</v>
      </c>
      <c r="Z12" s="17">
        <f t="shared" si="9"/>
        <v>223.41875731783628</v>
      </c>
      <c r="AA12" s="17">
        <f t="shared" si="11"/>
        <v>27.569009574499198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7" t="s">
        <v>31</v>
      </c>
      <c r="C13" s="57"/>
      <c r="D13" s="57"/>
      <c r="E13" s="57"/>
      <c r="F13" s="57"/>
      <c r="G13" s="57"/>
      <c r="H13" s="57"/>
      <c r="I13" s="57"/>
      <c r="J13" s="17">
        <v>180406</v>
      </c>
      <c r="K13" s="17">
        <v>199821.72</v>
      </c>
      <c r="L13" s="27">
        <f>O13</f>
        <v>407460</v>
      </c>
      <c r="M13" s="17">
        <v>114624.36</v>
      </c>
      <c r="N13" s="27">
        <f>P13/78*57</f>
        <v>297759.23076923081</v>
      </c>
      <c r="O13" s="17">
        <v>407460</v>
      </c>
      <c r="P13" s="17">
        <v>407460</v>
      </c>
      <c r="Q13" s="17">
        <v>157917.5</v>
      </c>
      <c r="R13" s="17">
        <f>417196+192576</f>
        <v>609772</v>
      </c>
      <c r="S13" s="17">
        <f>1083304.87+192576</f>
        <v>1275880.8700000001</v>
      </c>
      <c r="T13" s="17">
        <f t="shared" si="3"/>
        <v>451854.5</v>
      </c>
      <c r="U13" s="17">
        <f t="shared" si="4"/>
        <v>868420.87000000011</v>
      </c>
      <c r="V13" s="17">
        <f t="shared" si="5"/>
        <v>313.13033672016888</v>
      </c>
      <c r="W13" s="17">
        <f t="shared" si="6"/>
        <v>868420.87000000011</v>
      </c>
      <c r="X13" s="17">
        <f t="shared" si="7"/>
        <v>313.13033672016888</v>
      </c>
      <c r="Y13" s="17">
        <f t="shared" si="8"/>
        <v>978121.63923076936</v>
      </c>
      <c r="Z13" s="17">
        <f t="shared" si="9"/>
        <v>428.49414498549419</v>
      </c>
      <c r="AA13" s="17">
        <f t="shared" si="11"/>
        <v>73.07692307692308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7" t="s">
        <v>30</v>
      </c>
      <c r="C14" s="57"/>
      <c r="D14" s="57"/>
      <c r="E14" s="57"/>
      <c r="F14" s="57"/>
      <c r="G14" s="57"/>
      <c r="H14" s="57"/>
      <c r="I14" s="57"/>
      <c r="J14" s="17">
        <v>11715305.130000001</v>
      </c>
      <c r="K14" s="17">
        <v>12135551.99</v>
      </c>
      <c r="L14" s="17">
        <f t="shared" si="10"/>
        <v>12135551.99</v>
      </c>
      <c r="M14" s="17">
        <v>611410.18000000005</v>
      </c>
      <c r="N14" s="17">
        <f t="shared" ref="N14" si="12">M14</f>
        <v>611410.18000000005</v>
      </c>
      <c r="O14" s="17">
        <v>11117000</v>
      </c>
      <c r="P14" s="17">
        <v>923803</v>
      </c>
      <c r="Q14" s="17">
        <v>129911.47</v>
      </c>
      <c r="R14" s="17">
        <f>16414.64+12592.33+208.17+0.15</f>
        <v>29215.29</v>
      </c>
      <c r="S14" s="17">
        <f>900363.24+12592.33+208.17+0.15</f>
        <v>913163.89</v>
      </c>
      <c r="T14" s="17">
        <f t="shared" si="3"/>
        <v>-100696.18</v>
      </c>
      <c r="U14" s="17">
        <f t="shared" si="4"/>
        <v>-10203836.109999999</v>
      </c>
      <c r="V14" s="17">
        <f t="shared" si="5"/>
        <v>8.2141215255914357</v>
      </c>
      <c r="W14" s="17">
        <f t="shared" si="6"/>
        <v>-10639.109999999986</v>
      </c>
      <c r="X14" s="17">
        <f t="shared" si="7"/>
        <v>98.848335629999042</v>
      </c>
      <c r="Y14" s="17">
        <f t="shared" si="8"/>
        <v>301753.70999999996</v>
      </c>
      <c r="Z14" s="17">
        <f t="shared" si="9"/>
        <v>149.35372682214745</v>
      </c>
      <c r="AA14" s="17">
        <f t="shared" si="11"/>
        <v>5.0381736282273559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7" t="s">
        <v>25</v>
      </c>
      <c r="C15" s="57"/>
      <c r="D15" s="57"/>
      <c r="E15" s="57"/>
      <c r="F15" s="57"/>
      <c r="G15" s="57"/>
      <c r="H15" s="57"/>
      <c r="I15" s="57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9195851.9000000004</v>
      </c>
      <c r="N15" s="17">
        <f>N16+N21</f>
        <v>9195851.9000000004</v>
      </c>
      <c r="O15" s="17">
        <f t="shared" ref="O15:S15" si="13">O16+O21</f>
        <v>57080420</v>
      </c>
      <c r="P15" s="17">
        <f t="shared" si="13"/>
        <v>12148994</v>
      </c>
      <c r="Q15" s="17">
        <f t="shared" ref="Q15" si="14">Q16+Q21</f>
        <v>605772.19999999995</v>
      </c>
      <c r="R15" s="17">
        <f t="shared" si="13"/>
        <v>273090.61</v>
      </c>
      <c r="S15" s="17">
        <f t="shared" si="13"/>
        <v>9448829.7599999998</v>
      </c>
      <c r="T15" s="17">
        <f t="shared" si="3"/>
        <v>-332681.58999999997</v>
      </c>
      <c r="U15" s="17">
        <f t="shared" si="4"/>
        <v>-47631590.240000002</v>
      </c>
      <c r="V15" s="17">
        <f t="shared" si="5"/>
        <v>16.553539304721305</v>
      </c>
      <c r="W15" s="17">
        <f t="shared" si="6"/>
        <v>-2700164.24</v>
      </c>
      <c r="X15" s="17">
        <f t="shared" si="7"/>
        <v>77.774585780518123</v>
      </c>
      <c r="Y15" s="17">
        <f t="shared" si="8"/>
        <v>252977.8599999994</v>
      </c>
      <c r="Z15" s="17">
        <f t="shared" si="9"/>
        <v>102.75099971977582</v>
      </c>
      <c r="AA15" s="17">
        <f t="shared" si="11"/>
        <v>15.565788165525884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2"/>
      <c r="C16" s="52"/>
      <c r="D16" s="52"/>
      <c r="E16" s="52"/>
      <c r="F16" s="52"/>
      <c r="G16" s="52"/>
      <c r="H16" s="52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6152803.1600000001</v>
      </c>
      <c r="N16" s="18">
        <f>M16</f>
        <v>6152803.1600000001</v>
      </c>
      <c r="O16" s="18">
        <v>18390732</v>
      </c>
      <c r="P16" s="18">
        <v>9060666</v>
      </c>
      <c r="Q16" s="18">
        <v>290877</v>
      </c>
      <c r="R16" s="18">
        <f>56542.57+82591+6409.8-103</f>
        <v>145440.37</v>
      </c>
      <c r="S16" s="18">
        <f>6805715.73+82591+6409.8-103</f>
        <v>6894613.5300000003</v>
      </c>
      <c r="T16" s="18">
        <f t="shared" si="3"/>
        <v>-145436.63</v>
      </c>
      <c r="U16" s="18">
        <f t="shared" si="4"/>
        <v>-11496118.469999999</v>
      </c>
      <c r="V16" s="17">
        <f t="shared" si="5"/>
        <v>37.489609059606764</v>
      </c>
      <c r="W16" s="18">
        <f t="shared" si="6"/>
        <v>-2166052.4699999997</v>
      </c>
      <c r="X16" s="17">
        <f t="shared" si="7"/>
        <v>76.093893429026082</v>
      </c>
      <c r="Y16" s="18">
        <f t="shared" si="8"/>
        <v>741810.37000000011</v>
      </c>
      <c r="Z16" s="17">
        <f t="shared" si="9"/>
        <v>112.0564619200332</v>
      </c>
      <c r="AA16" s="18">
        <f t="shared" si="11"/>
        <v>27.576527742930899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3"/>
        <v>0</v>
      </c>
      <c r="U17" s="17">
        <f t="shared" si="4"/>
        <v>0</v>
      </c>
      <c r="V17" s="17" t="e">
        <f t="shared" si="5"/>
        <v>#DIV/0!</v>
      </c>
      <c r="W17" s="17">
        <f t="shared" si="6"/>
        <v>0</v>
      </c>
      <c r="X17" s="17" t="e">
        <f t="shared" si="7"/>
        <v>#DIV/0!</v>
      </c>
      <c r="Y17" s="17">
        <f t="shared" si="8"/>
        <v>-20632512.710000001</v>
      </c>
      <c r="Z17" s="17">
        <f t="shared" si="9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3"/>
        <v>0</v>
      </c>
      <c r="U18" s="17">
        <f t="shared" si="4"/>
        <v>0</v>
      </c>
      <c r="V18" s="17" t="e">
        <f t="shared" si="5"/>
        <v>#DIV/0!</v>
      </c>
      <c r="W18" s="17">
        <f t="shared" si="6"/>
        <v>0</v>
      </c>
      <c r="X18" s="17" t="e">
        <f t="shared" si="7"/>
        <v>#DIV/0!</v>
      </c>
      <c r="Y18" s="17">
        <f t="shared" si="8"/>
        <v>-624600</v>
      </c>
      <c r="Z18" s="17">
        <f t="shared" si="9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3"/>
        <v>0</v>
      </c>
      <c r="U19" s="17">
        <f t="shared" si="4"/>
        <v>0</v>
      </c>
      <c r="V19" s="17" t="e">
        <f t="shared" si="5"/>
        <v>#DIV/0!</v>
      </c>
      <c r="W19" s="17">
        <f t="shared" si="6"/>
        <v>0</v>
      </c>
      <c r="X19" s="17" t="e">
        <f t="shared" si="7"/>
        <v>#DIV/0!</v>
      </c>
      <c r="Y19" s="17">
        <f t="shared" si="8"/>
        <v>-54500</v>
      </c>
      <c r="Z19" s="17">
        <f t="shared" si="9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3"/>
        <v>0</v>
      </c>
      <c r="U20" s="17">
        <f t="shared" si="4"/>
        <v>0</v>
      </c>
      <c r="V20" s="17" t="e">
        <f t="shared" si="5"/>
        <v>#DIV/0!</v>
      </c>
      <c r="W20" s="17">
        <f t="shared" si="6"/>
        <v>0</v>
      </c>
      <c r="X20" s="17" t="e">
        <f t="shared" si="7"/>
        <v>#DIV/0!</v>
      </c>
      <c r="Y20" s="17">
        <f t="shared" si="8"/>
        <v>-100</v>
      </c>
      <c r="Z20" s="17">
        <f t="shared" si="9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2" t="s">
        <v>8</v>
      </c>
      <c r="C21" s="52" t="s">
        <v>26</v>
      </c>
      <c r="D21" s="52" t="s">
        <v>25</v>
      </c>
      <c r="E21" s="52"/>
      <c r="F21" s="52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3043048.74</v>
      </c>
      <c r="N21" s="18">
        <f>M21</f>
        <v>3043048.74</v>
      </c>
      <c r="O21" s="18">
        <v>38689688</v>
      </c>
      <c r="P21" s="18">
        <v>3088328</v>
      </c>
      <c r="Q21" s="18">
        <v>314895.2</v>
      </c>
      <c r="R21" s="18">
        <f>108698.81+4196+0.32+14755.11</f>
        <v>127650.24000000001</v>
      </c>
      <c r="S21" s="18">
        <f>2535264.8+4196+0.32+14755.11</f>
        <v>2554216.2299999995</v>
      </c>
      <c r="T21" s="18">
        <f t="shared" si="3"/>
        <v>-187244.96000000002</v>
      </c>
      <c r="U21" s="18">
        <f t="shared" si="4"/>
        <v>-36135471.770000003</v>
      </c>
      <c r="V21" s="17">
        <f t="shared" si="5"/>
        <v>6.6018010535520464</v>
      </c>
      <c r="W21" s="18">
        <f t="shared" si="6"/>
        <v>-534111.77000000048</v>
      </c>
      <c r="X21" s="17">
        <f t="shared" si="7"/>
        <v>82.705471374802144</v>
      </c>
      <c r="Y21" s="18">
        <f t="shared" si="8"/>
        <v>-488832.51000000071</v>
      </c>
      <c r="Z21" s="17">
        <f t="shared" si="9"/>
        <v>83.936093314101811</v>
      </c>
      <c r="AA21" s="18">
        <f t="shared" si="11"/>
        <v>8.2768937259240936</v>
      </c>
      <c r="AB21" s="31">
        <v>33105554.100000001</v>
      </c>
    </row>
    <row r="22" spans="1:29" s="15" customFormat="1" ht="37.5" hidden="1" customHeight="1" x14ac:dyDescent="0.3">
      <c r="A22" s="14"/>
      <c r="B22" s="57" t="s">
        <v>24</v>
      </c>
      <c r="C22" s="57"/>
      <c r="D22" s="57"/>
      <c r="E22" s="57"/>
      <c r="F22" s="57"/>
      <c r="G22" s="57"/>
      <c r="H22" s="57"/>
      <c r="I22" s="57"/>
      <c r="J22" s="17">
        <v>6867000</v>
      </c>
      <c r="K22" s="17">
        <v>7183566.0899999999</v>
      </c>
      <c r="L22" s="17">
        <f>K22</f>
        <v>7183566.0899999999</v>
      </c>
      <c r="M22" s="17">
        <v>1777099.8</v>
      </c>
      <c r="N22" s="17">
        <f>M22</f>
        <v>1777099.8</v>
      </c>
      <c r="O22" s="17">
        <v>5939000</v>
      </c>
      <c r="P22" s="17">
        <v>1894542</v>
      </c>
      <c r="Q22" s="17">
        <v>198141.93</v>
      </c>
      <c r="R22" s="17">
        <f>132629.35+34171.16+0.04</f>
        <v>166800.55000000002</v>
      </c>
      <c r="S22" s="17">
        <f>1725111.79+34171.16+0.04</f>
        <v>1759282.99</v>
      </c>
      <c r="T22" s="17">
        <f t="shared" si="3"/>
        <v>-31341.379999999976</v>
      </c>
      <c r="U22" s="17">
        <f t="shared" si="4"/>
        <v>-4179717.01</v>
      </c>
      <c r="V22" s="17">
        <f t="shared" si="5"/>
        <v>29.622545714766797</v>
      </c>
      <c r="W22" s="17">
        <f t="shared" si="6"/>
        <v>-135259.01</v>
      </c>
      <c r="X22" s="17">
        <f t="shared" si="7"/>
        <v>92.860595859051955</v>
      </c>
      <c r="Y22" s="17">
        <f t="shared" si="8"/>
        <v>-17816.810000000056</v>
      </c>
      <c r="Z22" s="17">
        <f t="shared" si="9"/>
        <v>98.997422091882513</v>
      </c>
      <c r="AA22" s="17">
        <f t="shared" si="11"/>
        <v>24.738406770891142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7" t="s">
        <v>18</v>
      </c>
      <c r="C23" s="57"/>
      <c r="D23" s="57"/>
      <c r="E23" s="57"/>
      <c r="F23" s="57"/>
      <c r="G23" s="57"/>
      <c r="H23" s="57"/>
      <c r="I23" s="57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5">M24+M27+M31+M33</f>
        <v>3827402.8599999994</v>
      </c>
      <c r="N23" s="17">
        <f>N24+N27+N31+N33</f>
        <v>3827402.8599999994</v>
      </c>
      <c r="O23" s="17">
        <f t="shared" ref="O23:Q23" si="16">O24+O27+O31+O33</f>
        <v>42043990</v>
      </c>
      <c r="P23" s="17">
        <f t="shared" si="16"/>
        <v>10864967.049999999</v>
      </c>
      <c r="Q23" s="17">
        <f t="shared" si="16"/>
        <v>1031344.4899999999</v>
      </c>
      <c r="R23" s="17">
        <f t="shared" ref="R23:S23" si="17">R24+R27+R31+R33</f>
        <v>911055.45000000007</v>
      </c>
      <c r="S23" s="17">
        <f t="shared" si="17"/>
        <v>4529190.03</v>
      </c>
      <c r="T23" s="17">
        <f t="shared" si="3"/>
        <v>-120289.0399999998</v>
      </c>
      <c r="U23" s="17">
        <f t="shared" si="4"/>
        <v>-37514799.969999999</v>
      </c>
      <c r="V23" s="17">
        <f t="shared" si="5"/>
        <v>10.772502871397316</v>
      </c>
      <c r="W23" s="17">
        <f t="shared" si="6"/>
        <v>-6335777.0199999986</v>
      </c>
      <c r="X23" s="17">
        <f t="shared" si="7"/>
        <v>41.686182840287586</v>
      </c>
      <c r="Y23" s="17">
        <f t="shared" si="8"/>
        <v>701787.17000000086</v>
      </c>
      <c r="Z23" s="17">
        <f t="shared" si="9"/>
        <v>118.33585843116606</v>
      </c>
      <c r="AA23" s="17">
        <f t="shared" si="11"/>
        <v>9.7020020091534782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2"/>
      <c r="C24" s="52"/>
      <c r="D24" s="52"/>
      <c r="E24" s="52"/>
      <c r="F24" s="52"/>
      <c r="G24" s="52"/>
      <c r="H24" s="52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3584544.3</v>
      </c>
      <c r="N24" s="18">
        <f>M24</f>
        <v>3584544.3</v>
      </c>
      <c r="O24" s="39">
        <v>41197224.380000003</v>
      </c>
      <c r="P24" s="39">
        <v>10534025.789999999</v>
      </c>
      <c r="Q24" s="18">
        <v>881022.33</v>
      </c>
      <c r="R24" s="18">
        <f>904520.88+1317.9</f>
        <v>905838.78</v>
      </c>
      <c r="S24" s="18">
        <f>4135202.98+1317.9</f>
        <v>4136520.88</v>
      </c>
      <c r="T24" s="18">
        <f t="shared" si="3"/>
        <v>24816.45000000007</v>
      </c>
      <c r="U24" s="18">
        <f t="shared" si="4"/>
        <v>-37060703.5</v>
      </c>
      <c r="V24" s="17">
        <f t="shared" si="5"/>
        <v>10.040775664508491</v>
      </c>
      <c r="W24" s="18">
        <f t="shared" si="6"/>
        <v>-6397504.9099999992</v>
      </c>
      <c r="X24" s="17">
        <f t="shared" si="7"/>
        <v>39.26818637492628</v>
      </c>
      <c r="Y24" s="18">
        <f t="shared" si="8"/>
        <v>551976.58000000007</v>
      </c>
      <c r="Z24" s="17">
        <f t="shared" si="9"/>
        <v>115.39879364860968</v>
      </c>
      <c r="AA24" s="18">
        <f t="shared" si="11"/>
        <v>9.3257422866302022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3"/>
        <v>0</v>
      </c>
      <c r="U25" s="17">
        <f t="shared" si="4"/>
        <v>0</v>
      </c>
      <c r="V25" s="17" t="e">
        <f t="shared" si="5"/>
        <v>#DIV/0!</v>
      </c>
      <c r="W25" s="17">
        <f t="shared" si="6"/>
        <v>0</v>
      </c>
      <c r="X25" s="17" t="e">
        <f t="shared" si="7"/>
        <v>#DIV/0!</v>
      </c>
      <c r="Y25" s="17">
        <f t="shared" si="8"/>
        <v>-31842999.989999998</v>
      </c>
      <c r="Z25" s="17">
        <f t="shared" si="9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3"/>
        <v>0</v>
      </c>
      <c r="U26" s="17">
        <f t="shared" si="4"/>
        <v>0</v>
      </c>
      <c r="V26" s="17" t="e">
        <f t="shared" si="5"/>
        <v>#DIV/0!</v>
      </c>
      <c r="W26" s="17">
        <f t="shared" si="6"/>
        <v>0</v>
      </c>
      <c r="X26" s="17" t="e">
        <f t="shared" si="7"/>
        <v>#DIV/0!</v>
      </c>
      <c r="Y26" s="17">
        <f t="shared" si="8"/>
        <v>-3583390.66</v>
      </c>
      <c r="Z26" s="17">
        <f t="shared" si="9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2"/>
      <c r="C27" s="52"/>
      <c r="D27" s="52"/>
      <c r="E27" s="52"/>
      <c r="F27" s="52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229447.01</v>
      </c>
      <c r="N27" s="18">
        <f>M27</f>
        <v>229447.01</v>
      </c>
      <c r="O27" s="18">
        <v>811765.62</v>
      </c>
      <c r="P27" s="18">
        <v>295941.26</v>
      </c>
      <c r="Q27" s="18">
        <v>3600</v>
      </c>
      <c r="R27" s="18">
        <v>5216.67</v>
      </c>
      <c r="S27" s="18">
        <v>234217.07</v>
      </c>
      <c r="T27" s="18">
        <f t="shared" si="3"/>
        <v>1616.67</v>
      </c>
      <c r="U27" s="18">
        <f t="shared" si="4"/>
        <v>-577548.55000000005</v>
      </c>
      <c r="V27" s="17">
        <f t="shared" si="5"/>
        <v>28.852794973012042</v>
      </c>
      <c r="W27" s="18">
        <f t="shared" si="6"/>
        <v>-61724.19</v>
      </c>
      <c r="X27" s="17">
        <f t="shared" si="7"/>
        <v>79.143094139695165</v>
      </c>
      <c r="Y27" s="18">
        <f t="shared" si="8"/>
        <v>4770.0599999999977</v>
      </c>
      <c r="Z27" s="17">
        <f t="shared" si="9"/>
        <v>102.07893752897455</v>
      </c>
      <c r="AA27" s="18">
        <f t="shared" si="11"/>
        <v>24.42480927003902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3"/>
        <v>0</v>
      </c>
      <c r="U28" s="17">
        <f t="shared" si="4"/>
        <v>0</v>
      </c>
      <c r="V28" s="17" t="e">
        <f t="shared" si="5"/>
        <v>#DIV/0!</v>
      </c>
      <c r="W28" s="17">
        <f t="shared" si="6"/>
        <v>0</v>
      </c>
      <c r="X28" s="17" t="e">
        <f t="shared" si="7"/>
        <v>#DIV/0!</v>
      </c>
      <c r="Y28" s="17">
        <f t="shared" si="8"/>
        <v>-157910</v>
      </c>
      <c r="Z28" s="17">
        <f t="shared" si="9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3"/>
        <v>0</v>
      </c>
      <c r="U29" s="17">
        <f t="shared" si="4"/>
        <v>0</v>
      </c>
      <c r="V29" s="17" t="e">
        <f t="shared" si="5"/>
        <v>#DIV/0!</v>
      </c>
      <c r="W29" s="17">
        <f t="shared" si="6"/>
        <v>0</v>
      </c>
      <c r="X29" s="17" t="e">
        <f t="shared" si="7"/>
        <v>#DIV/0!</v>
      </c>
      <c r="Y29" s="17">
        <f t="shared" si="8"/>
        <v>0</v>
      </c>
      <c r="Z29" s="17" t="e">
        <f t="shared" si="9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3"/>
        <v>0</v>
      </c>
      <c r="U30" s="17">
        <f t="shared" si="4"/>
        <v>0</v>
      </c>
      <c r="V30" s="17" t="e">
        <f t="shared" si="5"/>
        <v>#DIV/0!</v>
      </c>
      <c r="W30" s="17">
        <f t="shared" si="6"/>
        <v>0</v>
      </c>
      <c r="X30" s="17" t="e">
        <f t="shared" si="7"/>
        <v>#DIV/0!</v>
      </c>
      <c r="Y30" s="17">
        <f t="shared" si="8"/>
        <v>-730549.34</v>
      </c>
      <c r="Z30" s="17">
        <f t="shared" si="9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7" t="s">
        <v>17</v>
      </c>
      <c r="C31" s="57"/>
      <c r="D31" s="57"/>
      <c r="E31" s="57"/>
      <c r="F31" s="57"/>
      <c r="G31" s="57"/>
      <c r="H31" s="57"/>
      <c r="I31" s="57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8">M32</f>
        <v>0</v>
      </c>
      <c r="N31" s="17">
        <f>N32</f>
        <v>0</v>
      </c>
      <c r="O31" s="17">
        <f t="shared" ref="O31:S31" si="19">O32</f>
        <v>35000</v>
      </c>
      <c r="P31" s="17">
        <f t="shared" si="19"/>
        <v>35000</v>
      </c>
      <c r="Q31" s="17">
        <f t="shared" si="19"/>
        <v>145882.54999999999</v>
      </c>
      <c r="R31" s="17">
        <f t="shared" si="19"/>
        <v>0</v>
      </c>
      <c r="S31" s="17">
        <f t="shared" si="19"/>
        <v>145882.54999999999</v>
      </c>
      <c r="T31" s="17">
        <f t="shared" si="3"/>
        <v>-145882.54999999999</v>
      </c>
      <c r="U31" s="17">
        <f t="shared" si="4"/>
        <v>110882.54999999999</v>
      </c>
      <c r="V31" s="17">
        <f t="shared" si="5"/>
        <v>416.80728571428568</v>
      </c>
      <c r="W31" s="17">
        <f t="shared" si="6"/>
        <v>110882.54999999999</v>
      </c>
      <c r="X31" s="17">
        <v>0</v>
      </c>
      <c r="Y31" s="17">
        <f t="shared" si="8"/>
        <v>145882.54999999999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2" t="s">
        <v>8</v>
      </c>
      <c r="C32" s="52" t="s">
        <v>18</v>
      </c>
      <c r="D32" s="52" t="s">
        <v>17</v>
      </c>
      <c r="E32" s="52"/>
      <c r="F32" s="52"/>
      <c r="G32" s="6"/>
      <c r="H32" s="6"/>
      <c r="I32" s="52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145882.54999999999</v>
      </c>
      <c r="R32" s="18"/>
      <c r="S32" s="18">
        <v>145882.54999999999</v>
      </c>
      <c r="T32" s="18">
        <f t="shared" si="3"/>
        <v>-145882.54999999999</v>
      </c>
      <c r="U32" s="18">
        <f t="shared" si="4"/>
        <v>110882.54999999999</v>
      </c>
      <c r="V32" s="17">
        <f t="shared" si="5"/>
        <v>416.80728571428568</v>
      </c>
      <c r="W32" s="18">
        <f t="shared" si="6"/>
        <v>110882.54999999999</v>
      </c>
      <c r="X32" s="17">
        <v>0</v>
      </c>
      <c r="Y32" s="18">
        <f t="shared" si="8"/>
        <v>145882.54999999999</v>
      </c>
      <c r="Z32" s="17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20">M34</f>
        <v>13411.55</v>
      </c>
      <c r="N33" s="17">
        <f>N34</f>
        <v>13411.55</v>
      </c>
      <c r="O33" s="17">
        <f t="shared" ref="O33:P33" si="21">O34</f>
        <v>0</v>
      </c>
      <c r="P33" s="17">
        <f t="shared" si="21"/>
        <v>0</v>
      </c>
      <c r="Q33" s="17">
        <f>Q34</f>
        <v>839.61</v>
      </c>
      <c r="R33" s="17">
        <f>R34</f>
        <v>0</v>
      </c>
      <c r="S33" s="17">
        <f t="shared" ref="S33" si="22">S34</f>
        <v>12569.53</v>
      </c>
      <c r="T33" s="17">
        <f t="shared" si="3"/>
        <v>-839.61</v>
      </c>
      <c r="U33" s="17">
        <f t="shared" si="4"/>
        <v>12569.53</v>
      </c>
      <c r="V33" s="17">
        <v>0</v>
      </c>
      <c r="W33" s="17">
        <f t="shared" si="6"/>
        <v>12569.53</v>
      </c>
      <c r="X33" s="17">
        <v>0</v>
      </c>
      <c r="Y33" s="17">
        <f t="shared" si="8"/>
        <v>-842.01999999999862</v>
      </c>
      <c r="Z33" s="17">
        <f t="shared" si="9"/>
        <v>93.721680193564509</v>
      </c>
      <c r="AA33" s="17">
        <f t="shared" si="11"/>
        <v>22.493467417592186</v>
      </c>
      <c r="AB33" s="17">
        <f>AB34</f>
        <v>29474.45</v>
      </c>
    </row>
    <row r="34" spans="1:29" s="5" customFormat="1" ht="56.25" hidden="1" x14ac:dyDescent="0.3">
      <c r="A34" s="9"/>
      <c r="B34" s="52"/>
      <c r="C34" s="52"/>
      <c r="D34" s="52"/>
      <c r="E34" s="52"/>
      <c r="F34" s="52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13411.55</v>
      </c>
      <c r="N34" s="18">
        <f>M34</f>
        <v>13411.55</v>
      </c>
      <c r="O34" s="18">
        <v>0</v>
      </c>
      <c r="P34" s="18">
        <v>0</v>
      </c>
      <c r="Q34" s="18">
        <v>839.61</v>
      </c>
      <c r="R34" s="18"/>
      <c r="S34" s="18">
        <v>12569.53</v>
      </c>
      <c r="T34" s="18">
        <f t="shared" si="3"/>
        <v>-839.61</v>
      </c>
      <c r="U34" s="18">
        <f t="shared" si="4"/>
        <v>12569.53</v>
      </c>
      <c r="V34" s="17">
        <v>0</v>
      </c>
      <c r="W34" s="18">
        <f t="shared" si="6"/>
        <v>12569.53</v>
      </c>
      <c r="X34" s="17">
        <v>0</v>
      </c>
      <c r="Y34" s="18">
        <f t="shared" si="8"/>
        <v>-842.01999999999862</v>
      </c>
      <c r="Z34" s="17">
        <f t="shared" si="9"/>
        <v>93.721680193564509</v>
      </c>
      <c r="AA34" s="18">
        <f t="shared" si="11"/>
        <v>22.493467417592186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7" t="s">
        <v>15</v>
      </c>
      <c r="C35" s="57"/>
      <c r="D35" s="57"/>
      <c r="E35" s="57"/>
      <c r="F35" s="57"/>
      <c r="G35" s="57"/>
      <c r="H35" s="57"/>
      <c r="I35" s="57"/>
      <c r="J35" s="17">
        <v>85000</v>
      </c>
      <c r="K35" s="17">
        <v>94365.83</v>
      </c>
      <c r="L35" s="17">
        <f>K35</f>
        <v>94365.83</v>
      </c>
      <c r="M35" s="17">
        <v>-113005.36</v>
      </c>
      <c r="N35" s="17">
        <f>M35</f>
        <v>-113005.36</v>
      </c>
      <c r="O35" s="17">
        <v>1057860</v>
      </c>
      <c r="P35" s="17">
        <v>346550</v>
      </c>
      <c r="Q35" s="17">
        <v>17.93</v>
      </c>
      <c r="R35" s="17">
        <f>150.67+1.2+18</f>
        <v>169.86999999999998</v>
      </c>
      <c r="S35" s="17">
        <f>353721.51+1.2+18</f>
        <v>353740.71</v>
      </c>
      <c r="T35" s="17">
        <f t="shared" si="3"/>
        <v>151.93999999999997</v>
      </c>
      <c r="U35" s="17">
        <f t="shared" si="4"/>
        <v>-704119.29</v>
      </c>
      <c r="V35" s="17">
        <f t="shared" si="5"/>
        <v>33.439274573194943</v>
      </c>
      <c r="W35" s="17">
        <f t="shared" si="6"/>
        <v>7190.710000000021</v>
      </c>
      <c r="X35" s="17">
        <f t="shared" si="7"/>
        <v>102.07494156687346</v>
      </c>
      <c r="Y35" s="17">
        <f t="shared" si="8"/>
        <v>466746.07</v>
      </c>
      <c r="Z35" s="17">
        <f t="shared" si="9"/>
        <v>-313.03002795619608</v>
      </c>
      <c r="AA35" s="17">
        <f t="shared" si="11"/>
        <v>-119.75241461872375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7" t="s">
        <v>13</v>
      </c>
      <c r="C36" s="57"/>
      <c r="D36" s="57"/>
      <c r="E36" s="57"/>
      <c r="F36" s="57"/>
      <c r="G36" s="57"/>
      <c r="H36" s="57"/>
      <c r="I36" s="57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3">M37+M38</f>
        <v>9134639.3599999994</v>
      </c>
      <c r="N36" s="17">
        <f>N37+N38</f>
        <v>9134639.3599999994</v>
      </c>
      <c r="O36" s="17">
        <f t="shared" ref="O36:R36" si="24">O37+O38</f>
        <v>30293470</v>
      </c>
      <c r="P36" s="17">
        <f t="shared" ref="P36:Q36" si="25">P37+P38</f>
        <v>8493480</v>
      </c>
      <c r="Q36" s="17">
        <f t="shared" si="25"/>
        <v>365263.72</v>
      </c>
      <c r="R36" s="17">
        <f t="shared" si="24"/>
        <v>705193.52999999991</v>
      </c>
      <c r="S36" s="17">
        <f>S37+S38</f>
        <v>6194412.629999999</v>
      </c>
      <c r="T36" s="17">
        <f t="shared" si="3"/>
        <v>339929.80999999994</v>
      </c>
      <c r="U36" s="17">
        <f t="shared" si="4"/>
        <v>-24099057.370000001</v>
      </c>
      <c r="V36" s="17">
        <f t="shared" si="5"/>
        <v>20.448012822565389</v>
      </c>
      <c r="W36" s="17">
        <f t="shared" si="6"/>
        <v>-2299067.370000001</v>
      </c>
      <c r="X36" s="17">
        <f t="shared" si="7"/>
        <v>72.931385368541498</v>
      </c>
      <c r="Y36" s="17">
        <f t="shared" si="8"/>
        <v>-2940226.7300000004</v>
      </c>
      <c r="Z36" s="17">
        <f t="shared" si="9"/>
        <v>67.812339227369336</v>
      </c>
      <c r="AA36" s="17">
        <f t="shared" si="11"/>
        <v>33.988593793939529</v>
      </c>
      <c r="AB36" s="17">
        <f>AB37+AB38</f>
        <v>43485252</v>
      </c>
    </row>
    <row r="37" spans="1:29" s="5" customFormat="1" ht="36" hidden="1" customHeight="1" x14ac:dyDescent="0.3">
      <c r="A37" s="9"/>
      <c r="B37" s="61" t="s">
        <v>14</v>
      </c>
      <c r="C37" s="61"/>
      <c r="D37" s="61"/>
      <c r="E37" s="61"/>
      <c r="F37" s="61"/>
      <c r="G37" s="61"/>
      <c r="H37" s="61"/>
      <c r="I37" s="61"/>
      <c r="J37" s="18">
        <v>25011552.5</v>
      </c>
      <c r="K37" s="18">
        <v>25635946.170000002</v>
      </c>
      <c r="L37" s="18">
        <f>K37</f>
        <v>25635946.170000002</v>
      </c>
      <c r="M37" s="18">
        <v>8547201.0800000001</v>
      </c>
      <c r="N37" s="18">
        <f>M37</f>
        <v>8547201.0800000001</v>
      </c>
      <c r="O37" s="18">
        <v>30293470</v>
      </c>
      <c r="P37" s="18">
        <v>8493480</v>
      </c>
      <c r="Q37" s="18">
        <v>365263.72</v>
      </c>
      <c r="R37" s="18">
        <f>139897.61+3305.9+561286.94</f>
        <v>704490.45</v>
      </c>
      <c r="S37" s="18">
        <f>5510542.77+3305.9+561286.94</f>
        <v>6075135.6099999994</v>
      </c>
      <c r="T37" s="18">
        <f t="shared" si="3"/>
        <v>339226.73</v>
      </c>
      <c r="U37" s="18">
        <f t="shared" si="4"/>
        <v>-24218334.390000001</v>
      </c>
      <c r="V37" s="17">
        <f t="shared" si="5"/>
        <v>20.054274436041826</v>
      </c>
      <c r="W37" s="18">
        <f t="shared" si="6"/>
        <v>-2418344.3900000006</v>
      </c>
      <c r="X37" s="17">
        <f t="shared" si="7"/>
        <v>71.527049101192901</v>
      </c>
      <c r="Y37" s="18">
        <f t="shared" si="8"/>
        <v>-2472065.4700000007</v>
      </c>
      <c r="Z37" s="17">
        <f t="shared" si="9"/>
        <v>71.077485519973266</v>
      </c>
      <c r="AA37" s="18">
        <f t="shared" si="11"/>
        <v>33.3406889814826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1" t="s">
        <v>12</v>
      </c>
      <c r="C38" s="61"/>
      <c r="D38" s="61"/>
      <c r="E38" s="61"/>
      <c r="F38" s="61"/>
      <c r="G38" s="61"/>
      <c r="H38" s="61"/>
      <c r="I38" s="61"/>
      <c r="J38" s="18">
        <v>43290.09</v>
      </c>
      <c r="K38" s="18">
        <v>1239656.32</v>
      </c>
      <c r="L38" s="18">
        <f>K38</f>
        <v>1239656.32</v>
      </c>
      <c r="M38" s="18">
        <v>587438.28</v>
      </c>
      <c r="N38" s="18">
        <f>M38</f>
        <v>587438.28</v>
      </c>
      <c r="O38" s="18">
        <v>0</v>
      </c>
      <c r="P38" s="18">
        <v>0</v>
      </c>
      <c r="Q38" s="18">
        <v>0</v>
      </c>
      <c r="R38" s="18">
        <v>703.08</v>
      </c>
      <c r="S38" s="18">
        <v>119277.02</v>
      </c>
      <c r="T38" s="18">
        <f t="shared" si="3"/>
        <v>703.08</v>
      </c>
      <c r="U38" s="18">
        <f t="shared" si="4"/>
        <v>119277.02</v>
      </c>
      <c r="V38" s="17">
        <v>0</v>
      </c>
      <c r="W38" s="18">
        <f t="shared" si="6"/>
        <v>119277.02</v>
      </c>
      <c r="X38" s="17">
        <v>0</v>
      </c>
      <c r="Y38" s="18">
        <f t="shared" si="8"/>
        <v>-468161.26</v>
      </c>
      <c r="Z38" s="17">
        <f t="shared" si="9"/>
        <v>20.304604596077734</v>
      </c>
      <c r="AA38" s="18">
        <f t="shared" si="11"/>
        <v>47.387188733083697</v>
      </c>
      <c r="AB38" s="18">
        <v>0</v>
      </c>
    </row>
    <row r="39" spans="1:29" s="15" customFormat="1" ht="60" hidden="1" customHeight="1" x14ac:dyDescent="0.3">
      <c r="A39" s="14"/>
      <c r="B39" s="57" t="s">
        <v>11</v>
      </c>
      <c r="C39" s="57"/>
      <c r="D39" s="57"/>
      <c r="E39" s="57"/>
      <c r="F39" s="57"/>
      <c r="G39" s="57"/>
      <c r="H39" s="57"/>
      <c r="I39" s="57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6">M40+M41</f>
        <v>2517264.73</v>
      </c>
      <c r="N39" s="17">
        <f>N40+N41</f>
        <v>2517264.73</v>
      </c>
      <c r="O39" s="17">
        <f t="shared" ref="O39:S39" si="27">O40+O41</f>
        <v>132000</v>
      </c>
      <c r="P39" s="17">
        <f t="shared" si="27"/>
        <v>132000</v>
      </c>
      <c r="Q39" s="17">
        <f t="shared" ref="Q39" si="28">Q40+Q41</f>
        <v>214014.35</v>
      </c>
      <c r="R39" s="17">
        <f t="shared" si="27"/>
        <v>163471.17000000001</v>
      </c>
      <c r="S39" s="17">
        <f t="shared" si="27"/>
        <v>731200.42</v>
      </c>
      <c r="T39" s="17">
        <f t="shared" si="3"/>
        <v>-50543.179999999993</v>
      </c>
      <c r="U39" s="17">
        <f t="shared" si="4"/>
        <v>599200.42000000004</v>
      </c>
      <c r="V39" s="17">
        <f t="shared" si="5"/>
        <v>553.9397121212121</v>
      </c>
      <c r="W39" s="17">
        <f t="shared" si="6"/>
        <v>599200.42000000004</v>
      </c>
      <c r="X39" s="17">
        <f t="shared" si="7"/>
        <v>553.9397121212121</v>
      </c>
      <c r="Y39" s="17">
        <f t="shared" si="8"/>
        <v>-1786064.31</v>
      </c>
      <c r="Z39" s="17">
        <f t="shared" si="9"/>
        <v>29.047418465200519</v>
      </c>
      <c r="AA39" s="17">
        <f t="shared" si="11"/>
        <v>58.668825163376951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1" t="s">
        <v>47</v>
      </c>
      <c r="C40" s="61"/>
      <c r="D40" s="61"/>
      <c r="E40" s="61"/>
      <c r="F40" s="61"/>
      <c r="G40" s="61"/>
      <c r="H40" s="61"/>
      <c r="I40" s="61"/>
      <c r="J40" s="18">
        <v>163530</v>
      </c>
      <c r="K40" s="18">
        <v>163530</v>
      </c>
      <c r="L40" s="18">
        <f t="shared" ref="L40:L52" si="29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78000</v>
      </c>
      <c r="R40" s="18">
        <v>0</v>
      </c>
      <c r="S40" s="18">
        <v>78000</v>
      </c>
      <c r="T40" s="18">
        <f t="shared" si="3"/>
        <v>-78000</v>
      </c>
      <c r="U40" s="18">
        <f t="shared" si="4"/>
        <v>78000</v>
      </c>
      <c r="V40" s="17">
        <v>0</v>
      </c>
      <c r="W40" s="18">
        <f t="shared" si="6"/>
        <v>78000</v>
      </c>
      <c r="X40" s="17">
        <v>0</v>
      </c>
      <c r="Y40" s="18">
        <f t="shared" si="8"/>
        <v>78000</v>
      </c>
      <c r="Z40" s="17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1" t="s">
        <v>10</v>
      </c>
      <c r="C41" s="61"/>
      <c r="D41" s="61"/>
      <c r="E41" s="61"/>
      <c r="F41" s="61"/>
      <c r="G41" s="61"/>
      <c r="H41" s="61"/>
      <c r="I41" s="61"/>
      <c r="J41" s="18">
        <v>4127104.29</v>
      </c>
      <c r="K41" s="18">
        <v>4127104.29</v>
      </c>
      <c r="L41" s="18">
        <f t="shared" si="29"/>
        <v>4127104.29</v>
      </c>
      <c r="M41" s="18">
        <v>2517264.73</v>
      </c>
      <c r="N41" s="18">
        <f>M41</f>
        <v>2517264.73</v>
      </c>
      <c r="O41" s="18">
        <v>132000</v>
      </c>
      <c r="P41" s="18">
        <v>132000</v>
      </c>
      <c r="Q41" s="18">
        <v>136014.35</v>
      </c>
      <c r="R41" s="18">
        <v>163471.17000000001</v>
      </c>
      <c r="S41" s="18">
        <v>653200.42000000004</v>
      </c>
      <c r="T41" s="18">
        <f t="shared" si="3"/>
        <v>27456.820000000007</v>
      </c>
      <c r="U41" s="18">
        <f t="shared" si="4"/>
        <v>521200.42000000004</v>
      </c>
      <c r="V41" s="17">
        <f t="shared" si="5"/>
        <v>494.84880303030303</v>
      </c>
      <c r="W41" s="18">
        <f t="shared" si="6"/>
        <v>521200.42000000004</v>
      </c>
      <c r="X41" s="17">
        <f t="shared" si="7"/>
        <v>494.84880303030303</v>
      </c>
      <c r="Y41" s="18">
        <f t="shared" si="8"/>
        <v>-1864064.31</v>
      </c>
      <c r="Z41" s="17">
        <f t="shared" si="9"/>
        <v>25.94881707177457</v>
      </c>
      <c r="AA41" s="18">
        <f t="shared" si="11"/>
        <v>60.993484853274694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7" t="s">
        <v>9</v>
      </c>
      <c r="C42" s="57"/>
      <c r="D42" s="57"/>
      <c r="E42" s="57"/>
      <c r="F42" s="57"/>
      <c r="G42" s="57"/>
      <c r="H42" s="57"/>
      <c r="I42" s="57"/>
      <c r="J42" s="17">
        <v>2200000</v>
      </c>
      <c r="K42" s="17">
        <v>2338187.02</v>
      </c>
      <c r="L42" s="17">
        <f t="shared" si="29"/>
        <v>2338187.02</v>
      </c>
      <c r="M42" s="17">
        <v>699712.64</v>
      </c>
      <c r="N42" s="17">
        <f>M42</f>
        <v>699712.64</v>
      </c>
      <c r="O42" s="17">
        <v>770140</v>
      </c>
      <c r="P42" s="17">
        <v>282437.27</v>
      </c>
      <c r="Q42" s="17">
        <v>30932.27</v>
      </c>
      <c r="R42" s="17">
        <f>18661.42+0.52+2500+500</f>
        <v>21661.94</v>
      </c>
      <c r="S42" s="17">
        <f>242477.02+0.52+2500+500</f>
        <v>245477.53999999998</v>
      </c>
      <c r="T42" s="17">
        <f t="shared" si="3"/>
        <v>-9270.3300000000017</v>
      </c>
      <c r="U42" s="17">
        <f t="shared" si="4"/>
        <v>-524662.46</v>
      </c>
      <c r="V42" s="17">
        <f t="shared" si="5"/>
        <v>31.874404653699322</v>
      </c>
      <c r="W42" s="17">
        <f t="shared" si="6"/>
        <v>-36959.73000000004</v>
      </c>
      <c r="X42" s="17">
        <f t="shared" si="7"/>
        <v>86.914003948558189</v>
      </c>
      <c r="Y42" s="17">
        <f t="shared" si="8"/>
        <v>-454235.10000000003</v>
      </c>
      <c r="Z42" s="17">
        <f t="shared" si="9"/>
        <v>35.082621917477432</v>
      </c>
      <c r="AA42" s="17">
        <f t="shared" si="11"/>
        <v>29.92543513478233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9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3"/>
        <v>0</v>
      </c>
      <c r="U43" s="17">
        <f t="shared" si="4"/>
        <v>59379.149999999994</v>
      </c>
      <c r="V43" s="17">
        <f t="shared" si="5"/>
        <v>190.79380733944953</v>
      </c>
      <c r="W43" s="17">
        <f t="shared" si="6"/>
        <v>124779.15</v>
      </c>
      <c r="X43" s="17" t="e">
        <f t="shared" si="7"/>
        <v>#DIV/0!</v>
      </c>
      <c r="Y43" s="17">
        <f t="shared" si="8"/>
        <v>32141.459999999992</v>
      </c>
      <c r="Z43" s="17">
        <f t="shared" si="9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9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3"/>
        <v>0</v>
      </c>
      <c r="U44" s="17">
        <f t="shared" si="4"/>
        <v>600</v>
      </c>
      <c r="V44" s="17">
        <f t="shared" si="5"/>
        <v>100.75566750629723</v>
      </c>
      <c r="W44" s="17">
        <f t="shared" si="6"/>
        <v>80000</v>
      </c>
      <c r="X44" s="17" t="e">
        <f t="shared" si="7"/>
        <v>#DIV/0!</v>
      </c>
      <c r="Y44" s="17">
        <f t="shared" si="8"/>
        <v>20000</v>
      </c>
      <c r="Z44" s="17">
        <f t="shared" si="9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9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3"/>
        <v>0</v>
      </c>
      <c r="U45" s="17">
        <f t="shared" si="4"/>
        <v>127159.44</v>
      </c>
      <c r="V45" s="17">
        <f t="shared" si="5"/>
        <v>154.74146661541482</v>
      </c>
      <c r="W45" s="17">
        <f t="shared" si="6"/>
        <v>359450.33</v>
      </c>
      <c r="X45" s="17" t="e">
        <f t="shared" si="7"/>
        <v>#DIV/0!</v>
      </c>
      <c r="Y45" s="17">
        <f t="shared" si="8"/>
        <v>145950.33000000002</v>
      </c>
      <c r="Z45" s="17">
        <f t="shared" si="9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9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3"/>
        <v>0</v>
      </c>
      <c r="U46" s="17">
        <f t="shared" si="4"/>
        <v>585.42999999999302</v>
      </c>
      <c r="V46" s="17">
        <f t="shared" si="5"/>
        <v>100.24043823392998</v>
      </c>
      <c r="W46" s="17">
        <f t="shared" si="6"/>
        <v>244070</v>
      </c>
      <c r="X46" s="17" t="e">
        <f t="shared" si="7"/>
        <v>#DIV/0!</v>
      </c>
      <c r="Y46" s="17">
        <f t="shared" si="8"/>
        <v>20833.820000000007</v>
      </c>
      <c r="Z46" s="17">
        <f t="shared" si="9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9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3"/>
        <v>0</v>
      </c>
      <c r="U47" s="17">
        <f t="shared" si="4"/>
        <v>194009.67000000004</v>
      </c>
      <c r="V47" s="17">
        <f t="shared" si="5"/>
        <v>120.10274727340808</v>
      </c>
      <c r="W47" s="17">
        <f t="shared" si="6"/>
        <v>1159100</v>
      </c>
      <c r="X47" s="17" t="e">
        <f t="shared" si="7"/>
        <v>#DIV/0!</v>
      </c>
      <c r="Y47" s="17">
        <f t="shared" si="8"/>
        <v>143804.44999999995</v>
      </c>
      <c r="Z47" s="17">
        <f t="shared" si="9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9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3"/>
        <v>0</v>
      </c>
      <c r="U48" s="17">
        <f t="shared" si="4"/>
        <v>15000</v>
      </c>
      <c r="V48" s="17">
        <f t="shared" si="5"/>
        <v>103.57142857142858</v>
      </c>
      <c r="W48" s="17">
        <f t="shared" si="6"/>
        <v>435000</v>
      </c>
      <c r="X48" s="17" t="e">
        <f t="shared" si="7"/>
        <v>#DIV/0!</v>
      </c>
      <c r="Y48" s="17">
        <f t="shared" si="8"/>
        <v>163000</v>
      </c>
      <c r="Z48" s="17">
        <f t="shared" si="9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9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3"/>
        <v>0</v>
      </c>
      <c r="U49" s="17">
        <f t="shared" si="4"/>
        <v>326062.56999999995</v>
      </c>
      <c r="V49" s="17">
        <f t="shared" si="5"/>
        <v>150.1634723076923</v>
      </c>
      <c r="W49" s="17">
        <f t="shared" si="6"/>
        <v>976062.57</v>
      </c>
      <c r="X49" s="17" t="e">
        <f t="shared" si="7"/>
        <v>#DIV/0!</v>
      </c>
      <c r="Y49" s="17">
        <f t="shared" si="8"/>
        <v>859324.57</v>
      </c>
      <c r="Z49" s="17">
        <f t="shared" si="9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9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3"/>
        <v>0</v>
      </c>
      <c r="U50" s="17">
        <f t="shared" si="4"/>
        <v>33742.81</v>
      </c>
      <c r="V50" s="17">
        <f t="shared" si="5"/>
        <v>112.01349657700825</v>
      </c>
      <c r="W50" s="17">
        <f t="shared" si="6"/>
        <v>314616.99</v>
      </c>
      <c r="X50" s="17" t="e">
        <f t="shared" si="7"/>
        <v>#DIV/0!</v>
      </c>
      <c r="Y50" s="17">
        <f t="shared" si="8"/>
        <v>-107932.03000000003</v>
      </c>
      <c r="Z50" s="17">
        <f t="shared" si="9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9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3"/>
        <v>0</v>
      </c>
      <c r="U51" s="17">
        <f t="shared" si="4"/>
        <v>213912.2200000002</v>
      </c>
      <c r="V51" s="17">
        <f t="shared" si="5"/>
        <v>109.56468276624854</v>
      </c>
      <c r="W51" s="17">
        <f t="shared" si="6"/>
        <v>2450392.25</v>
      </c>
      <c r="X51" s="17" t="e">
        <f t="shared" si="7"/>
        <v>#DIV/0!</v>
      </c>
      <c r="Y51" s="17">
        <f t="shared" si="8"/>
        <v>-691088.9700000002</v>
      </c>
      <c r="Z51" s="17">
        <f t="shared" si="9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9"/>
        <v>256536.06</v>
      </c>
      <c r="M52" s="31">
        <v>108297.48</v>
      </c>
      <c r="N52" s="18">
        <f>M52</f>
        <v>108297.48</v>
      </c>
      <c r="O52" s="35">
        <v>426910</v>
      </c>
      <c r="P52" s="56">
        <v>61700</v>
      </c>
      <c r="Q52" s="18">
        <v>5124.59</v>
      </c>
      <c r="R52" s="18">
        <v>11004.41</v>
      </c>
      <c r="S52" s="18">
        <v>39020.269999999997</v>
      </c>
      <c r="T52" s="35">
        <f t="shared" si="3"/>
        <v>5879.82</v>
      </c>
      <c r="U52" s="18">
        <f t="shared" si="4"/>
        <v>-387889.73</v>
      </c>
      <c r="V52" s="17">
        <f t="shared" si="5"/>
        <v>9.1401630320207996</v>
      </c>
      <c r="W52" s="18">
        <f t="shared" si="6"/>
        <v>-22679.730000000003</v>
      </c>
      <c r="X52" s="17">
        <f t="shared" si="7"/>
        <v>63.241928687196101</v>
      </c>
      <c r="Y52" s="18">
        <f t="shared" si="8"/>
        <v>-69277.209999999992</v>
      </c>
      <c r="Z52" s="17">
        <f t="shared" si="9"/>
        <v>36.030635246544982</v>
      </c>
      <c r="AA52" s="18">
        <f t="shared" si="11"/>
        <v>42.215304936077992</v>
      </c>
      <c r="AB52" s="35"/>
    </row>
    <row r="53" spans="1:28" s="15" customFormat="1" ht="36.75" hidden="1" customHeight="1" x14ac:dyDescent="0.3">
      <c r="A53" s="14"/>
      <c r="B53" s="57" t="s">
        <v>7</v>
      </c>
      <c r="C53" s="57"/>
      <c r="D53" s="57"/>
      <c r="E53" s="57"/>
      <c r="F53" s="57"/>
      <c r="G53" s="57"/>
      <c r="H53" s="57"/>
      <c r="I53" s="57"/>
      <c r="J53" s="17">
        <f t="shared" ref="J53:Q53" si="30">J54+J55</f>
        <v>0</v>
      </c>
      <c r="K53" s="17">
        <f t="shared" si="30"/>
        <v>1294662.3799999999</v>
      </c>
      <c r="L53" s="17">
        <f t="shared" si="30"/>
        <v>5650214.3799999999</v>
      </c>
      <c r="M53" s="17">
        <f t="shared" si="30"/>
        <v>305731.14</v>
      </c>
      <c r="N53" s="17">
        <f t="shared" si="30"/>
        <v>1802694.1400000001</v>
      </c>
      <c r="O53" s="17">
        <f t="shared" si="30"/>
        <v>4355552</v>
      </c>
      <c r="P53" s="17">
        <f t="shared" si="30"/>
        <v>4355552</v>
      </c>
      <c r="Q53" s="17">
        <f t="shared" si="30"/>
        <v>113677.94</v>
      </c>
      <c r="R53" s="17">
        <f t="shared" ref="R53:S53" si="31">R54+R55</f>
        <v>154747.47</v>
      </c>
      <c r="S53" s="17">
        <f t="shared" si="31"/>
        <v>1716564.6099999999</v>
      </c>
      <c r="T53" s="17">
        <f t="shared" si="3"/>
        <v>41069.53</v>
      </c>
      <c r="U53" s="17">
        <f t="shared" si="4"/>
        <v>-2638987.39</v>
      </c>
      <c r="V53" s="17">
        <f t="shared" si="5"/>
        <v>39.410954340574968</v>
      </c>
      <c r="W53" s="17">
        <f t="shared" si="6"/>
        <v>-2638987.39</v>
      </c>
      <c r="X53" s="17">
        <f t="shared" si="7"/>
        <v>39.410954340574968</v>
      </c>
      <c r="Y53" s="17">
        <f t="shared" si="8"/>
        <v>-86129.530000000261</v>
      </c>
      <c r="Z53" s="17">
        <f t="shared" si="9"/>
        <v>95.222177290707762</v>
      </c>
      <c r="AA53" s="17">
        <f t="shared" si="11"/>
        <v>31.904880394998397</v>
      </c>
      <c r="AB53" s="17"/>
    </row>
    <row r="54" spans="1:28" s="5" customFormat="1" ht="28.5" hidden="1" customHeight="1" x14ac:dyDescent="0.3">
      <c r="A54" s="9"/>
      <c r="B54" s="52"/>
      <c r="C54" s="52"/>
      <c r="D54" s="52"/>
      <c r="E54" s="52"/>
      <c r="F54" s="52"/>
      <c r="G54" s="52"/>
      <c r="H54" s="52"/>
      <c r="I54" s="52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305731.14</v>
      </c>
      <c r="N54" s="18">
        <f>M54</f>
        <v>305731.14</v>
      </c>
      <c r="O54" s="18">
        <v>0</v>
      </c>
      <c r="P54" s="18">
        <v>0</v>
      </c>
      <c r="Q54" s="18">
        <v>36505.94</v>
      </c>
      <c r="R54" s="18">
        <v>29797.47</v>
      </c>
      <c r="S54" s="18">
        <v>219601.61</v>
      </c>
      <c r="T54" s="35">
        <f t="shared" si="3"/>
        <v>-6708.4700000000012</v>
      </c>
      <c r="U54" s="18">
        <f t="shared" si="4"/>
        <v>219601.61</v>
      </c>
      <c r="V54" s="17">
        <v>0</v>
      </c>
      <c r="W54" s="17">
        <f t="shared" si="6"/>
        <v>219601.61</v>
      </c>
      <c r="X54" s="17">
        <v>0</v>
      </c>
      <c r="Y54" s="18">
        <f t="shared" si="8"/>
        <v>-86129.530000000028</v>
      </c>
      <c r="Z54" s="17">
        <f t="shared" si="9"/>
        <v>71.82834237951684</v>
      </c>
      <c r="AA54" s="18">
        <f t="shared" si="11"/>
        <v>23.614738847976724</v>
      </c>
      <c r="AB54" s="18"/>
    </row>
    <row r="55" spans="1:28" s="5" customFormat="1" ht="28.5" hidden="1" customHeight="1" x14ac:dyDescent="0.3">
      <c r="A55" s="9"/>
      <c r="B55" s="52"/>
      <c r="C55" s="52"/>
      <c r="D55" s="52"/>
      <c r="E55" s="52"/>
      <c r="F55" s="52"/>
      <c r="G55" s="52"/>
      <c r="H55" s="52"/>
      <c r="I55" s="52" t="s">
        <v>78</v>
      </c>
      <c r="J55" s="18">
        <v>0</v>
      </c>
      <c r="K55" s="18">
        <v>0</v>
      </c>
      <c r="L55" s="53">
        <v>4355552</v>
      </c>
      <c r="M55" s="18">
        <v>0</v>
      </c>
      <c r="N55" s="53">
        <f>S55</f>
        <v>1496963</v>
      </c>
      <c r="O55" s="18">
        <f>5544443-1188891</f>
        <v>4355552</v>
      </c>
      <c r="P55" s="18">
        <f>5544443-1188891</f>
        <v>4355552</v>
      </c>
      <c r="Q55" s="18">
        <v>77172</v>
      </c>
      <c r="R55" s="18">
        <f>10300+1650+100000+13000</f>
        <v>124950</v>
      </c>
      <c r="S55" s="18">
        <f>1382313+1650+100000+13000</f>
        <v>1496963</v>
      </c>
      <c r="T55" s="35">
        <f t="shared" si="3"/>
        <v>47778</v>
      </c>
      <c r="U55" s="18">
        <f t="shared" si="4"/>
        <v>-2858589</v>
      </c>
      <c r="V55" s="17">
        <f t="shared" si="5"/>
        <v>34.369076525776755</v>
      </c>
      <c r="W55" s="17">
        <f t="shared" si="6"/>
        <v>-2858589</v>
      </c>
      <c r="X55" s="17">
        <f t="shared" si="7"/>
        <v>34.369076525776755</v>
      </c>
      <c r="Y55" s="18">
        <f t="shared" si="8"/>
        <v>0</v>
      </c>
      <c r="Z55" s="17">
        <f t="shared" si="9"/>
        <v>100</v>
      </c>
      <c r="AA55" s="18"/>
      <c r="AB55" s="18"/>
    </row>
    <row r="56" spans="1:28" s="15" customFormat="1" ht="36.75" customHeight="1" x14ac:dyDescent="0.3">
      <c r="A56" s="14"/>
      <c r="B56" s="57" t="s">
        <v>1</v>
      </c>
      <c r="C56" s="57"/>
      <c r="D56" s="57"/>
      <c r="E56" s="57"/>
      <c r="F56" s="57"/>
      <c r="G56" s="57"/>
      <c r="H56" s="57"/>
      <c r="I56" s="57"/>
      <c r="J56" s="17">
        <f>J57+J58+J59+J60+J61+J62+J63</f>
        <v>1796348547.49</v>
      </c>
      <c r="K56" s="17">
        <f t="shared" ref="K56:S56" si="32">K57+K58+K59+K60+K61+K62+K63</f>
        <v>1731743649.9200001</v>
      </c>
      <c r="L56" s="17">
        <f t="shared" ref="L56:M56" si="33">L57+L58+L59+L60+L61+L62+L63</f>
        <v>1726065816.5200002</v>
      </c>
      <c r="M56" s="17">
        <f t="shared" si="33"/>
        <v>316778672.86000001</v>
      </c>
      <c r="N56" s="17">
        <f t="shared" ref="N56" si="34">N57+N58+N59+N60+N61+N62+N63</f>
        <v>313848613.46000004</v>
      </c>
      <c r="O56" s="17">
        <f t="shared" si="32"/>
        <v>1719562266.79</v>
      </c>
      <c r="P56" s="17">
        <f t="shared" si="32"/>
        <v>614972956.64999998</v>
      </c>
      <c r="Q56" s="17">
        <f t="shared" ref="Q56" si="35">Q57+Q58+Q59+Q60+Q61+Q62+Q63</f>
        <v>4530658.3</v>
      </c>
      <c r="R56" s="17">
        <f t="shared" si="32"/>
        <v>3838285.5599999996</v>
      </c>
      <c r="S56" s="17">
        <f t="shared" si="32"/>
        <v>419562236.25</v>
      </c>
      <c r="T56" s="17">
        <f t="shared" si="3"/>
        <v>-692372.74000000022</v>
      </c>
      <c r="U56" s="17">
        <f t="shared" si="4"/>
        <v>-1300000030.54</v>
      </c>
      <c r="V56" s="17">
        <f t="shared" si="5"/>
        <v>24.399362811863718</v>
      </c>
      <c r="W56" s="17">
        <f t="shared" si="6"/>
        <v>-195410720.39999998</v>
      </c>
      <c r="X56" s="17">
        <f t="shared" si="7"/>
        <v>68.224501860296556</v>
      </c>
      <c r="Y56" s="17">
        <f t="shared" si="8"/>
        <v>105713622.78999996</v>
      </c>
      <c r="Z56" s="17">
        <f t="shared" si="9"/>
        <v>133.68299818965846</v>
      </c>
      <c r="AA56" s="17">
        <f t="shared" ref="AA56:AA64" si="36">N56/L56*100</f>
        <v>18.18288795573071</v>
      </c>
      <c r="AB56" s="30"/>
    </row>
    <row r="57" spans="1:28" s="15" customFormat="1" ht="54.75" customHeight="1" x14ac:dyDescent="0.3">
      <c r="A57" s="14"/>
      <c r="B57" s="57" t="s">
        <v>6</v>
      </c>
      <c r="C57" s="57"/>
      <c r="D57" s="57"/>
      <c r="E57" s="57"/>
      <c r="F57" s="57"/>
      <c r="G57" s="57"/>
      <c r="H57" s="57"/>
      <c r="I57" s="57"/>
      <c r="J57" s="17">
        <v>426424900</v>
      </c>
      <c r="K57" s="17">
        <v>426424900</v>
      </c>
      <c r="L57" s="17">
        <f t="shared" ref="L57:L63" si="37">K57</f>
        <v>426424900</v>
      </c>
      <c r="M57" s="17">
        <v>100744500</v>
      </c>
      <c r="N57" s="17">
        <f>M57</f>
        <v>100744500</v>
      </c>
      <c r="O57" s="17">
        <v>436509000</v>
      </c>
      <c r="P57" s="17">
        <v>145503000</v>
      </c>
      <c r="Q57" s="17">
        <v>0</v>
      </c>
      <c r="R57" s="17">
        <v>0</v>
      </c>
      <c r="S57" s="17">
        <v>109127250</v>
      </c>
      <c r="T57" s="17">
        <f t="shared" si="3"/>
        <v>0</v>
      </c>
      <c r="U57" s="17">
        <f t="shared" si="4"/>
        <v>-327381750</v>
      </c>
      <c r="V57" s="17">
        <f t="shared" si="5"/>
        <v>25</v>
      </c>
      <c r="W57" s="17">
        <f t="shared" si="6"/>
        <v>-36375750</v>
      </c>
      <c r="X57" s="17">
        <f t="shared" si="7"/>
        <v>75</v>
      </c>
      <c r="Y57" s="17">
        <f t="shared" si="8"/>
        <v>8382750</v>
      </c>
      <c r="Z57" s="17">
        <f t="shared" si="9"/>
        <v>108.32080163185087</v>
      </c>
      <c r="AA57" s="17">
        <f t="shared" si="36"/>
        <v>23.625379287185151</v>
      </c>
      <c r="AB57" s="30"/>
    </row>
    <row r="58" spans="1:28" s="15" customFormat="1" ht="55.5" customHeight="1" x14ac:dyDescent="0.3">
      <c r="A58" s="14"/>
      <c r="B58" s="57" t="s">
        <v>5</v>
      </c>
      <c r="C58" s="57"/>
      <c r="D58" s="57"/>
      <c r="E58" s="57"/>
      <c r="F58" s="57"/>
      <c r="G58" s="57"/>
      <c r="H58" s="57"/>
      <c r="I58" s="57"/>
      <c r="J58" s="17">
        <v>290914546.44999999</v>
      </c>
      <c r="K58" s="17">
        <v>276999912.48000002</v>
      </c>
      <c r="L58" s="17">
        <f t="shared" si="37"/>
        <v>276999912.48000002</v>
      </c>
      <c r="M58" s="17">
        <v>1243422</v>
      </c>
      <c r="N58" s="17">
        <f>M58</f>
        <v>1243422</v>
      </c>
      <c r="O58" s="17">
        <v>219043670.13</v>
      </c>
      <c r="P58" s="17">
        <v>43853647.780000001</v>
      </c>
      <c r="Q58" s="17">
        <v>978665.67</v>
      </c>
      <c r="R58" s="17">
        <v>2421227.2799999998</v>
      </c>
      <c r="S58" s="17">
        <v>9110925.8200000003</v>
      </c>
      <c r="T58" s="17">
        <f t="shared" si="3"/>
        <v>1442561.6099999999</v>
      </c>
      <c r="U58" s="17">
        <f t="shared" si="4"/>
        <v>-209932744.31</v>
      </c>
      <c r="V58" s="17">
        <f t="shared" si="5"/>
        <v>4.1594106849071544</v>
      </c>
      <c r="W58" s="17">
        <f t="shared" si="6"/>
        <v>-34742721.960000001</v>
      </c>
      <c r="X58" s="17">
        <f t="shared" si="7"/>
        <v>20.775753628766889</v>
      </c>
      <c r="Y58" s="17">
        <f t="shared" si="8"/>
        <v>7867503.8200000003</v>
      </c>
      <c r="Z58" s="17">
        <f t="shared" si="9"/>
        <v>732.72998386710219</v>
      </c>
      <c r="AA58" s="17">
        <f t="shared" si="36"/>
        <v>0.44888895049372179</v>
      </c>
      <c r="AB58" s="30"/>
    </row>
    <row r="59" spans="1:28" s="15" customFormat="1" ht="55.5" customHeight="1" x14ac:dyDescent="0.3">
      <c r="A59" s="14"/>
      <c r="B59" s="57" t="s">
        <v>4</v>
      </c>
      <c r="C59" s="57"/>
      <c r="D59" s="57"/>
      <c r="E59" s="57"/>
      <c r="F59" s="57"/>
      <c r="G59" s="57"/>
      <c r="H59" s="57"/>
      <c r="I59" s="57"/>
      <c r="J59" s="17">
        <v>1066999039.4299999</v>
      </c>
      <c r="K59" s="17">
        <v>1016038865.97</v>
      </c>
      <c r="L59" s="17">
        <f t="shared" si="37"/>
        <v>1016038865.97</v>
      </c>
      <c r="M59" s="17">
        <v>218353810.68000001</v>
      </c>
      <c r="N59" s="17">
        <f>M59</f>
        <v>218353810.68000001</v>
      </c>
      <c r="O59" s="17">
        <v>1035992152.54</v>
      </c>
      <c r="P59" s="17">
        <v>415768898.13</v>
      </c>
      <c r="Q59" s="17">
        <v>1536651.95</v>
      </c>
      <c r="R59" s="17">
        <v>1061942.7</v>
      </c>
      <c r="S59" s="17">
        <v>299005007.39999998</v>
      </c>
      <c r="T59" s="17">
        <f t="shared" si="3"/>
        <v>-474709.25</v>
      </c>
      <c r="U59" s="17">
        <f t="shared" si="4"/>
        <v>-736987145.13999999</v>
      </c>
      <c r="V59" s="17">
        <f t="shared" si="5"/>
        <v>28.861705821507687</v>
      </c>
      <c r="W59" s="17">
        <f t="shared" si="6"/>
        <v>-116763890.73000002</v>
      </c>
      <c r="X59" s="17">
        <f t="shared" si="7"/>
        <v>71.916155524098144</v>
      </c>
      <c r="Y59" s="17">
        <f t="shared" si="8"/>
        <v>80651196.719999969</v>
      </c>
      <c r="Z59" s="17">
        <f t="shared" si="9"/>
        <v>136.93601520799433</v>
      </c>
      <c r="AA59" s="17">
        <f t="shared" si="36"/>
        <v>21.490694696166006</v>
      </c>
      <c r="AB59" s="30"/>
    </row>
    <row r="60" spans="1:28" s="15" customFormat="1" ht="37.5" customHeight="1" x14ac:dyDescent="0.3">
      <c r="A60" s="14"/>
      <c r="B60" s="57" t="s">
        <v>3</v>
      </c>
      <c r="C60" s="57"/>
      <c r="D60" s="57"/>
      <c r="E60" s="57"/>
      <c r="F60" s="57"/>
      <c r="G60" s="57"/>
      <c r="H60" s="57"/>
      <c r="I60" s="57"/>
      <c r="J60" s="17">
        <v>12583515.119999999</v>
      </c>
      <c r="K60" s="17">
        <v>11684333.98</v>
      </c>
      <c r="L60" s="17">
        <f t="shared" si="37"/>
        <v>11684333.98</v>
      </c>
      <c r="M60" s="17">
        <v>299251.89</v>
      </c>
      <c r="N60" s="17">
        <f>M60</f>
        <v>299251.89</v>
      </c>
      <c r="O60" s="17">
        <v>28017444.120000001</v>
      </c>
      <c r="P60" s="17">
        <v>9847410.7400000002</v>
      </c>
      <c r="Q60" s="17">
        <v>2015340.68</v>
      </c>
      <c r="R60" s="17">
        <v>354265.58</v>
      </c>
      <c r="S60" s="17">
        <v>7388017.79</v>
      </c>
      <c r="T60" s="17">
        <f t="shared" si="3"/>
        <v>-1661075.0999999999</v>
      </c>
      <c r="U60" s="17">
        <f t="shared" si="4"/>
        <v>-20629426.330000002</v>
      </c>
      <c r="V60" s="17">
        <f t="shared" si="5"/>
        <v>26.369349603614022</v>
      </c>
      <c r="W60" s="17">
        <f t="shared" si="6"/>
        <v>-2459392.9500000002</v>
      </c>
      <c r="X60" s="17">
        <f t="shared" si="7"/>
        <v>75.024978495006906</v>
      </c>
      <c r="Y60" s="17">
        <f t="shared" si="8"/>
        <v>7088765.9000000004</v>
      </c>
      <c r="Z60" s="17">
        <f t="shared" si="9"/>
        <v>2468.8291158328188</v>
      </c>
      <c r="AA60" s="17">
        <f t="shared" si="36"/>
        <v>2.5611377637118857</v>
      </c>
      <c r="AB60" s="30"/>
    </row>
    <row r="61" spans="1:28" s="15" customFormat="1" ht="39" customHeight="1" x14ac:dyDescent="0.3">
      <c r="A61" s="14"/>
      <c r="B61" s="57" t="s">
        <v>2</v>
      </c>
      <c r="C61" s="57"/>
      <c r="D61" s="57"/>
      <c r="E61" s="57"/>
      <c r="F61" s="57"/>
      <c r="G61" s="57"/>
      <c r="H61" s="57"/>
      <c r="I61" s="57"/>
      <c r="J61" s="17">
        <v>4835497.8</v>
      </c>
      <c r="K61" s="17">
        <v>6004588.7999999998</v>
      </c>
      <c r="L61" s="27">
        <f>K61-5677833.4</f>
        <v>326755.39999999944</v>
      </c>
      <c r="M61" s="17">
        <v>2935102.12</v>
      </c>
      <c r="N61" s="27">
        <v>5042.72</v>
      </c>
      <c r="O61" s="17">
        <v>0</v>
      </c>
      <c r="P61" s="17">
        <v>0</v>
      </c>
      <c r="Q61" s="17">
        <v>0</v>
      </c>
      <c r="R61" s="17">
        <v>850</v>
      </c>
      <c r="S61" s="17">
        <v>850</v>
      </c>
      <c r="T61" s="17">
        <f t="shared" si="3"/>
        <v>850</v>
      </c>
      <c r="U61" s="17">
        <f t="shared" si="4"/>
        <v>850</v>
      </c>
      <c r="V61" s="17">
        <v>0</v>
      </c>
      <c r="W61" s="17">
        <f t="shared" si="6"/>
        <v>850</v>
      </c>
      <c r="X61" s="17">
        <v>0</v>
      </c>
      <c r="Y61" s="17">
        <f t="shared" si="8"/>
        <v>-4192.72</v>
      </c>
      <c r="Z61" s="17">
        <f t="shared" si="9"/>
        <v>16.855982485642667</v>
      </c>
      <c r="AA61" s="17">
        <f t="shared" si="36"/>
        <v>1.5432705932327389</v>
      </c>
      <c r="AB61" s="30"/>
    </row>
    <row r="62" spans="1:28" s="15" customFormat="1" ht="159.7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7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3"/>
        <v>0</v>
      </c>
      <c r="U62" s="17">
        <f t="shared" si="4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8"/>
        <v>280404</v>
      </c>
      <c r="Z62" s="17">
        <v>0</v>
      </c>
      <c r="AA62" s="17" t="e">
        <f t="shared" si="36"/>
        <v>#DIV/0!</v>
      </c>
      <c r="AB62" s="30"/>
    </row>
    <row r="63" spans="1:28" s="15" customFormat="1" ht="99.75" customHeight="1" x14ac:dyDescent="0.3">
      <c r="A63" s="14"/>
      <c r="B63" s="57" t="s">
        <v>0</v>
      </c>
      <c r="C63" s="57"/>
      <c r="D63" s="57"/>
      <c r="E63" s="57"/>
      <c r="F63" s="57"/>
      <c r="G63" s="57"/>
      <c r="H63" s="57"/>
      <c r="I63" s="57"/>
      <c r="J63" s="17">
        <v>-5408951.3099999996</v>
      </c>
      <c r="K63" s="17">
        <v>-5408951.3099999996</v>
      </c>
      <c r="L63" s="17">
        <f t="shared" si="37"/>
        <v>-5408951.3099999996</v>
      </c>
      <c r="M63" s="17">
        <v>-6797413.8300000001</v>
      </c>
      <c r="N63" s="17">
        <f>M63</f>
        <v>-6797413.8300000001</v>
      </c>
      <c r="O63" s="17">
        <v>0</v>
      </c>
      <c r="P63" s="17">
        <v>0</v>
      </c>
      <c r="Q63" s="17">
        <v>0</v>
      </c>
      <c r="R63" s="17">
        <v>0</v>
      </c>
      <c r="S63" s="17">
        <v>-5350218.76</v>
      </c>
      <c r="T63" s="17">
        <f t="shared" si="3"/>
        <v>0</v>
      </c>
      <c r="U63" s="17">
        <f t="shared" si="4"/>
        <v>-5350218.76</v>
      </c>
      <c r="V63" s="17">
        <v>0</v>
      </c>
      <c r="W63" s="17">
        <f t="shared" si="6"/>
        <v>-5350218.76</v>
      </c>
      <c r="X63" s="17">
        <v>0</v>
      </c>
      <c r="Y63" s="17">
        <f t="shared" si="8"/>
        <v>1447195.0700000003</v>
      </c>
      <c r="Z63" s="17">
        <f t="shared" si="9"/>
        <v>78.709622421208394</v>
      </c>
      <c r="AA63" s="17">
        <f t="shared" si="36"/>
        <v>125.66971748170535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8">J56+J7</f>
        <v>2135801802.4200001</v>
      </c>
      <c r="K64" s="18">
        <f t="shared" si="38"/>
        <v>2092393430.8699999</v>
      </c>
      <c r="L64" s="18">
        <f t="shared" si="38"/>
        <v>2071858415.1639752</v>
      </c>
      <c r="M64" s="18">
        <f t="shared" si="38"/>
        <v>389534734</v>
      </c>
      <c r="N64" s="18">
        <f t="shared" si="38"/>
        <v>385947767.07482123</v>
      </c>
      <c r="O64" s="18">
        <f t="shared" si="38"/>
        <v>2071874758.79</v>
      </c>
      <c r="P64" s="18">
        <f t="shared" si="38"/>
        <v>714165911.97000003</v>
      </c>
      <c r="Q64" s="18">
        <f t="shared" ref="Q64" si="39">Q56+Q7</f>
        <v>8676846.4100000001</v>
      </c>
      <c r="R64" s="18">
        <f t="shared" si="38"/>
        <v>13952201.819999997</v>
      </c>
      <c r="S64" s="18">
        <f t="shared" si="38"/>
        <v>494069622.06</v>
      </c>
      <c r="T64" s="18">
        <f t="shared" si="3"/>
        <v>5275355.4099999964</v>
      </c>
      <c r="U64" s="18">
        <f t="shared" si="4"/>
        <v>-1577805136.73</v>
      </c>
      <c r="V64" s="17">
        <f t="shared" si="5"/>
        <v>23.846500371892297</v>
      </c>
      <c r="W64" s="17">
        <f t="shared" si="6"/>
        <v>-220096289.91000003</v>
      </c>
      <c r="X64" s="17">
        <f t="shared" si="7"/>
        <v>69.181350408776495</v>
      </c>
      <c r="Y64" s="18">
        <f t="shared" si="8"/>
        <v>108121854.98517877</v>
      </c>
      <c r="Z64" s="17">
        <f t="shared" si="9"/>
        <v>128.01463415753301</v>
      </c>
      <c r="AA64" s="17">
        <f t="shared" si="36"/>
        <v>18.628095638681746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0"/>
      <c r="X65" s="50"/>
      <c r="Y65" s="10"/>
      <c r="Z65" s="10"/>
      <c r="AA65" s="10"/>
    </row>
    <row r="66" spans="1:27" s="5" customFormat="1" ht="62.25" customHeight="1" x14ac:dyDescent="0.3">
      <c r="I66" s="66" t="s">
        <v>88</v>
      </c>
      <c r="J66" s="66"/>
      <c r="K66" s="66"/>
      <c r="L66" s="66"/>
      <c r="M66" s="66"/>
      <c r="N66" s="66"/>
      <c r="O66" s="67"/>
      <c r="P66" s="67"/>
      <c r="Q66" s="67"/>
      <c r="R66" s="67"/>
      <c r="S66" s="67"/>
      <c r="T66" s="67"/>
      <c r="U66" s="67"/>
      <c r="V66" s="68" t="s">
        <v>50</v>
      </c>
      <c r="W66" s="67"/>
      <c r="X66" s="69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2021-04-02T07:08:17Z</cp:lastPrinted>
  <dcterms:created xsi:type="dcterms:W3CDTF">2018-12-30T09:36:16Z</dcterms:created>
  <dcterms:modified xsi:type="dcterms:W3CDTF">2021-04-02T07:08:27Z</dcterms:modified>
</cp:coreProperties>
</file>